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0B327EDB-CD10-428D-A4AC-99CD5DBA25A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eekly Summary" sheetId="3" r:id="rId1"/>
    <sheet name="Table Games" sheetId="2" r:id="rId2"/>
    <sheet name="Video" sheetId="1" r:id="rId3"/>
  </sheets>
  <definedNames>
    <definedName name="_xlnm.Print_Area" localSheetId="1">'Table Games'!$A$1:$L$27</definedName>
    <definedName name="_xlnm.Print_Area" localSheetId="2">Video!$A$1:$K$26</definedName>
    <definedName name="_xlnm.Print_Area" localSheetId="0">'Weekly Summary'!$A$1:$N$29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3" i="2" l="1"/>
  <c r="H21" i="1"/>
  <c r="F21" i="1"/>
  <c r="H24" i="3" l="1"/>
  <c r="G24" i="3"/>
  <c r="F24" i="3"/>
  <c r="E24" i="3"/>
  <c r="D24" i="3"/>
  <c r="C24" i="3"/>
  <c r="B24" i="3"/>
  <c r="A24" i="3"/>
  <c r="I23" i="2"/>
  <c r="I24" i="3" s="1"/>
  <c r="A23" i="2"/>
  <c r="M24" i="3"/>
  <c r="E21" i="1"/>
  <c r="J24" i="3" s="1"/>
  <c r="L22" i="2"/>
  <c r="H20" i="1"/>
  <c r="H23" i="3"/>
  <c r="G23" i="3"/>
  <c r="F23" i="3"/>
  <c r="E23" i="3"/>
  <c r="D23" i="3"/>
  <c r="C23" i="3"/>
  <c r="B23" i="3"/>
  <c r="I22" i="2"/>
  <c r="E20" i="1"/>
  <c r="I20" i="1" s="1"/>
  <c r="J23" i="2" l="1"/>
  <c r="K24" i="3" s="1"/>
  <c r="K23" i="2"/>
  <c r="I21" i="1"/>
  <c r="N24" i="3" s="1"/>
  <c r="G21" i="1"/>
  <c r="J21" i="1"/>
  <c r="F20" i="1"/>
  <c r="I23" i="3"/>
  <c r="N23" i="3"/>
  <c r="J20" i="1"/>
  <c r="J23" i="3"/>
  <c r="J22" i="2"/>
  <c r="K23" i="3" s="1"/>
  <c r="K22" i="2"/>
  <c r="G20" i="1"/>
  <c r="M23" i="3"/>
  <c r="H22" i="3"/>
  <c r="G22" i="3"/>
  <c r="F22" i="3"/>
  <c r="E22" i="3"/>
  <c r="D22" i="3"/>
  <c r="C22" i="3"/>
  <c r="B22" i="3"/>
  <c r="I21" i="2"/>
  <c r="L21" i="2" s="1"/>
  <c r="E19" i="1"/>
  <c r="J19" i="1" s="1"/>
  <c r="L24" i="3" l="1"/>
  <c r="L23" i="3"/>
  <c r="K21" i="2"/>
  <c r="F19" i="1"/>
  <c r="I19" i="1"/>
  <c r="I22" i="3"/>
  <c r="G19" i="1"/>
  <c r="L22" i="3" s="1"/>
  <c r="J22" i="3"/>
  <c r="H19" i="1"/>
  <c r="M22" i="3" s="1"/>
  <c r="J21" i="2"/>
  <c r="K22" i="3" s="1"/>
  <c r="H21" i="3"/>
  <c r="G21" i="3"/>
  <c r="F21" i="3"/>
  <c r="E21" i="3"/>
  <c r="D21" i="3"/>
  <c r="C21" i="3"/>
  <c r="B21" i="3"/>
  <c r="I20" i="2"/>
  <c r="L20" i="2" s="1"/>
  <c r="E18" i="1"/>
  <c r="F18" i="1" s="1"/>
  <c r="N22" i="3" l="1"/>
  <c r="I21" i="3"/>
  <c r="J18" i="1"/>
  <c r="G18" i="1"/>
  <c r="H18" i="1"/>
  <c r="J21" i="3"/>
  <c r="J20" i="2"/>
  <c r="K21" i="3" s="1"/>
  <c r="K20" i="2"/>
  <c r="M21" i="3"/>
  <c r="I18" i="1"/>
  <c r="N21" i="3" s="1"/>
  <c r="H20" i="3"/>
  <c r="G20" i="3"/>
  <c r="F20" i="3"/>
  <c r="E20" i="3"/>
  <c r="D20" i="3"/>
  <c r="C20" i="3"/>
  <c r="B20" i="3"/>
  <c r="I19" i="2"/>
  <c r="I20" i="3" s="1"/>
  <c r="E17" i="1"/>
  <c r="H19" i="3"/>
  <c r="G19" i="3"/>
  <c r="F19" i="3"/>
  <c r="E19" i="3"/>
  <c r="D19" i="3"/>
  <c r="C19" i="3"/>
  <c r="B19" i="3"/>
  <c r="E16" i="1"/>
  <c r="J16" i="1" s="1"/>
  <c r="I18" i="2"/>
  <c r="J18" i="2" s="1"/>
  <c r="H18" i="3"/>
  <c r="G18" i="3"/>
  <c r="F18" i="3"/>
  <c r="E18" i="3"/>
  <c r="D18" i="3"/>
  <c r="C18" i="3"/>
  <c r="B18" i="3"/>
  <c r="I17" i="2"/>
  <c r="L17" i="2" s="1"/>
  <c r="E15" i="1"/>
  <c r="J18" i="3" s="1"/>
  <c r="L21" i="3" l="1"/>
  <c r="L18" i="2"/>
  <c r="I18" i="3"/>
  <c r="G16" i="1"/>
  <c r="F16" i="1"/>
  <c r="K19" i="3" s="1"/>
  <c r="J17" i="1"/>
  <c r="F17" i="1"/>
  <c r="L19" i="2"/>
  <c r="G17" i="1"/>
  <c r="J20" i="3"/>
  <c r="H17" i="1"/>
  <c r="M20" i="3" s="1"/>
  <c r="I17" i="1"/>
  <c r="J19" i="2"/>
  <c r="K20" i="3" s="1"/>
  <c r="K19" i="2"/>
  <c r="H16" i="1"/>
  <c r="M19" i="3" s="1"/>
  <c r="I16" i="1"/>
  <c r="J19" i="3"/>
  <c r="K18" i="2"/>
  <c r="I19" i="3"/>
  <c r="F15" i="1"/>
  <c r="H15" i="1"/>
  <c r="M18" i="3" s="1"/>
  <c r="I15" i="1"/>
  <c r="N18" i="3"/>
  <c r="J17" i="2"/>
  <c r="K17" i="2"/>
  <c r="J15" i="1"/>
  <c r="G15" i="1"/>
  <c r="N19" i="3" l="1"/>
  <c r="N20" i="3"/>
  <c r="L20" i="3"/>
  <c r="L19" i="3"/>
  <c r="L18" i="3"/>
  <c r="K18" i="3"/>
  <c r="H17" i="3"/>
  <c r="G17" i="3"/>
  <c r="F17" i="3"/>
  <c r="E17" i="3"/>
  <c r="D17" i="3"/>
  <c r="C17" i="3"/>
  <c r="B17" i="3"/>
  <c r="E14" i="1"/>
  <c r="J14" i="1" s="1"/>
  <c r="I16" i="2"/>
  <c r="I17" i="3" s="1"/>
  <c r="H16" i="3"/>
  <c r="G16" i="3"/>
  <c r="F16" i="3"/>
  <c r="E16" i="3"/>
  <c r="D16" i="3"/>
  <c r="C16" i="3"/>
  <c r="B16" i="3"/>
  <c r="E13" i="1"/>
  <c r="J13" i="1" s="1"/>
  <c r="I15" i="2"/>
  <c r="I16" i="3" s="1"/>
  <c r="H15" i="3"/>
  <c r="G15" i="3"/>
  <c r="F15" i="3"/>
  <c r="E15" i="3"/>
  <c r="D15" i="3"/>
  <c r="C15" i="3"/>
  <c r="B15" i="3"/>
  <c r="I14" i="2"/>
  <c r="I15" i="3" s="1"/>
  <c r="E12" i="1"/>
  <c r="J12" i="1" s="1"/>
  <c r="H14" i="3"/>
  <c r="G14" i="3"/>
  <c r="F14" i="3"/>
  <c r="E14" i="3"/>
  <c r="D14" i="3"/>
  <c r="C14" i="3"/>
  <c r="B14" i="3"/>
  <c r="I13" i="2"/>
  <c r="L13" i="2" s="1"/>
  <c r="E11" i="1"/>
  <c r="F11" i="1" s="1"/>
  <c r="H13" i="1" l="1"/>
  <c r="M16" i="3" s="1"/>
  <c r="J17" i="3"/>
  <c r="L16" i="2"/>
  <c r="G12" i="1"/>
  <c r="F14" i="1"/>
  <c r="I14" i="1"/>
  <c r="G13" i="1"/>
  <c r="G14" i="1"/>
  <c r="H14" i="1"/>
  <c r="M17" i="3" s="1"/>
  <c r="L14" i="2"/>
  <c r="L15" i="2"/>
  <c r="J16" i="2"/>
  <c r="K17" i="3" s="1"/>
  <c r="K16" i="2"/>
  <c r="J16" i="3"/>
  <c r="F13" i="1"/>
  <c r="I13" i="1"/>
  <c r="J15" i="2"/>
  <c r="K15" i="2"/>
  <c r="J15" i="3"/>
  <c r="H12" i="1"/>
  <c r="M15" i="3" s="1"/>
  <c r="J14" i="2"/>
  <c r="K14" i="2"/>
  <c r="F12" i="1"/>
  <c r="H11" i="1"/>
  <c r="M14" i="3" s="1"/>
  <c r="I12" i="1"/>
  <c r="J14" i="3"/>
  <c r="G11" i="1"/>
  <c r="I14" i="3"/>
  <c r="K13" i="2"/>
  <c r="J13" i="2"/>
  <c r="K14" i="3" s="1"/>
  <c r="I11" i="1"/>
  <c r="N14" i="3" s="1"/>
  <c r="J11" i="1"/>
  <c r="H13" i="3"/>
  <c r="G13" i="3"/>
  <c r="F13" i="3"/>
  <c r="E13" i="3"/>
  <c r="D13" i="3"/>
  <c r="C13" i="3"/>
  <c r="B13" i="3"/>
  <c r="E10" i="1"/>
  <c r="I12" i="2"/>
  <c r="L12" i="2" s="1"/>
  <c r="H12" i="3"/>
  <c r="G12" i="3"/>
  <c r="F12" i="3"/>
  <c r="E12" i="3"/>
  <c r="D12" i="3"/>
  <c r="C12" i="3"/>
  <c r="B12" i="3"/>
  <c r="I11" i="2"/>
  <c r="J11" i="2" s="1"/>
  <c r="E9" i="1"/>
  <c r="J9" i="1" s="1"/>
  <c r="A8" i="1"/>
  <c r="A11" i="3" s="1"/>
  <c r="H11" i="3"/>
  <c r="G11" i="3"/>
  <c r="F11" i="3"/>
  <c r="E11" i="3"/>
  <c r="D11" i="3"/>
  <c r="C11" i="3"/>
  <c r="B11" i="3"/>
  <c r="E8" i="1"/>
  <c r="J8" i="1" s="1"/>
  <c r="I10" i="2"/>
  <c r="L10" i="2" s="1"/>
  <c r="L11" i="2" l="1"/>
  <c r="N17" i="3"/>
  <c r="L16" i="3"/>
  <c r="N15" i="3"/>
  <c r="N16" i="3"/>
  <c r="I12" i="3"/>
  <c r="L15" i="3"/>
  <c r="L17" i="3"/>
  <c r="K15" i="3"/>
  <c r="K16" i="3"/>
  <c r="L14" i="3"/>
  <c r="H10" i="1"/>
  <c r="M13" i="3" s="1"/>
  <c r="G10" i="1"/>
  <c r="F9" i="1"/>
  <c r="K12" i="3" s="1"/>
  <c r="G9" i="1"/>
  <c r="H8" i="1"/>
  <c r="M11" i="3" s="1"/>
  <c r="J10" i="1"/>
  <c r="F10" i="1"/>
  <c r="J13" i="3"/>
  <c r="I13" i="3"/>
  <c r="H9" i="1"/>
  <c r="M12" i="3" s="1"/>
  <c r="I9" i="1"/>
  <c r="I10" i="1"/>
  <c r="N13" i="3" s="1"/>
  <c r="A10" i="2"/>
  <c r="J12" i="2"/>
  <c r="K12" i="2"/>
  <c r="J12" i="3"/>
  <c r="K11" i="2"/>
  <c r="F8" i="1"/>
  <c r="I8" i="1"/>
  <c r="N11" i="3" s="1"/>
  <c r="A9" i="1"/>
  <c r="A10" i="1" s="1"/>
  <c r="A11" i="1" s="1"/>
  <c r="J11" i="3"/>
  <c r="I11" i="3"/>
  <c r="G8" i="1"/>
  <c r="J10" i="2"/>
  <c r="K10" i="2"/>
  <c r="A9" i="2"/>
  <c r="A10" i="3"/>
  <c r="H10" i="3"/>
  <c r="G10" i="3"/>
  <c r="F10" i="3"/>
  <c r="E10" i="3"/>
  <c r="D10" i="3"/>
  <c r="C10" i="3"/>
  <c r="B10" i="3"/>
  <c r="E7" i="1"/>
  <c r="I7" i="1" s="1"/>
  <c r="N12" i="3" l="1"/>
  <c r="L12" i="3"/>
  <c r="A14" i="3"/>
  <c r="A12" i="1"/>
  <c r="A13" i="2"/>
  <c r="A13" i="3"/>
  <c r="A12" i="2"/>
  <c r="K13" i="3"/>
  <c r="L13" i="3"/>
  <c r="K11" i="3"/>
  <c r="A12" i="3"/>
  <c r="A11" i="2"/>
  <c r="J10" i="3"/>
  <c r="L11" i="3"/>
  <c r="J7" i="1"/>
  <c r="F7" i="1"/>
  <c r="H7" i="1"/>
  <c r="M10" i="3" s="1"/>
  <c r="G7" i="1"/>
  <c r="A15" i="3" l="1"/>
  <c r="A13" i="1"/>
  <c r="A14" i="2"/>
  <c r="I9" i="2"/>
  <c r="A8" i="2"/>
  <c r="A9" i="3"/>
  <c r="A14" i="1" l="1"/>
  <c r="A15" i="1" s="1"/>
  <c r="A16" i="3"/>
  <c r="A15" i="2"/>
  <c r="L9" i="2"/>
  <c r="N10" i="3" s="1"/>
  <c r="I10" i="3"/>
  <c r="J9" i="2"/>
  <c r="K10" i="3" s="1"/>
  <c r="K9" i="2"/>
  <c r="L10" i="3" s="1"/>
  <c r="B25" i="2"/>
  <c r="C25" i="2"/>
  <c r="D25" i="2"/>
  <c r="A16" i="1" l="1"/>
  <c r="A18" i="3"/>
  <c r="A17" i="2"/>
  <c r="A17" i="3"/>
  <c r="A16" i="2"/>
  <c r="B23" i="1"/>
  <c r="A19" i="3" l="1"/>
  <c r="A17" i="1"/>
  <c r="A18" i="2"/>
  <c r="C9" i="3"/>
  <c r="C26" i="3" s="1"/>
  <c r="D9" i="3"/>
  <c r="D26" i="3" s="1"/>
  <c r="E9" i="3"/>
  <c r="E26" i="3" s="1"/>
  <c r="F9" i="3"/>
  <c r="F26" i="3" s="1"/>
  <c r="G9" i="3"/>
  <c r="G26" i="3" s="1"/>
  <c r="H9" i="3"/>
  <c r="H26" i="3" s="1"/>
  <c r="B9" i="3"/>
  <c r="B26" i="3" s="1"/>
  <c r="A18" i="1" l="1"/>
  <c r="A19" i="2"/>
  <c r="A20" i="3"/>
  <c r="E25" i="2"/>
  <c r="F25" i="2"/>
  <c r="G25" i="2"/>
  <c r="H25" i="2"/>
  <c r="K23" i="1"/>
  <c r="C23" i="1"/>
  <c r="D23" i="1"/>
  <c r="I8" i="2"/>
  <c r="L8" i="2" s="1"/>
  <c r="I2" i="2"/>
  <c r="A19" i="1" l="1"/>
  <c r="A21" i="3"/>
  <c r="A20" i="2"/>
  <c r="L25" i="2"/>
  <c r="I23" i="1"/>
  <c r="G23" i="1"/>
  <c r="F23" i="1"/>
  <c r="K8" i="2"/>
  <c r="K25" i="2" s="1"/>
  <c r="J8" i="2"/>
  <c r="J25" i="2" s="1"/>
  <c r="J6" i="1"/>
  <c r="J23" i="1" s="1"/>
  <c r="I25" i="2"/>
  <c r="J9" i="3"/>
  <c r="J26" i="3" s="1"/>
  <c r="E23" i="1"/>
  <c r="I9" i="3"/>
  <c r="I26" i="3" s="1"/>
  <c r="A20" i="1" l="1"/>
  <c r="A22" i="3"/>
  <c r="A21" i="2"/>
  <c r="N9" i="3"/>
  <c r="N26" i="3" s="1"/>
  <c r="M9" i="3"/>
  <c r="M26" i="3" s="1"/>
  <c r="H23" i="1"/>
  <c r="K9" i="3"/>
  <c r="K26" i="3" s="1"/>
  <c r="L9" i="3"/>
  <c r="L26" i="3" s="1"/>
  <c r="A23" i="3" l="1"/>
  <c r="A22" i="2"/>
  <c r="A21" i="1"/>
</calcChain>
</file>

<file path=xl/sharedStrings.xml><?xml version="1.0" encoding="utf-8"?>
<sst xmlns="http://schemas.openxmlformats.org/spreadsheetml/2006/main" count="48" uniqueCount="36">
  <si>
    <t>Amount
Played</t>
  </si>
  <si>
    <t>Adjusted
Amount
Won</t>
  </si>
  <si>
    <t>Promo</t>
  </si>
  <si>
    <t>Gross
Terminal Revenue</t>
  </si>
  <si>
    <t>State
Share
36%</t>
  </si>
  <si>
    <t>Human
Resource
Benefit Fund
17%</t>
  </si>
  <si>
    <t>Capital
Reinvestment
4.7%</t>
  </si>
  <si>
    <t>Greenbrier
Share
42.3%</t>
  </si>
  <si>
    <t>Average
GTI / # Term</t>
  </si>
  <si>
    <t>**  Represents an average of the number of machines in use for the week, averaged for the fiscal year.</t>
  </si>
  <si>
    <t>Number
Terminals **</t>
  </si>
  <si>
    <t>Craps</t>
  </si>
  <si>
    <t>Mini Bac</t>
  </si>
  <si>
    <t>Poker
Tournament</t>
  </si>
  <si>
    <t>Roulette</t>
  </si>
  <si>
    <t>Single
Roulette</t>
  </si>
  <si>
    <t>Three Card
Poker</t>
  </si>
  <si>
    <t>Gross
Receipts</t>
  </si>
  <si>
    <t>State
Share
30%</t>
  </si>
  <si>
    <t>Human
Resource
Benefit Fund
5%</t>
  </si>
  <si>
    <t>Greenbrier
Share
65%</t>
  </si>
  <si>
    <t>State
Share</t>
  </si>
  <si>
    <t>Human
Resource
Benefit Fund</t>
  </si>
  <si>
    <t>Greenbrier
Share</t>
  </si>
  <si>
    <t>Capital
Reinvestment</t>
  </si>
  <si>
    <t>WEEKLY GREENBRIER HISTORIC RESORT REVENUE SUMMARY</t>
  </si>
  <si>
    <t>Blackjack</t>
  </si>
  <si>
    <t>Table Games Gross
Receipts</t>
  </si>
  <si>
    <t>Video Gross
Terminal
Revenue</t>
  </si>
  <si>
    <t>WEST VIRGINIA LOTTERY</t>
  </si>
  <si>
    <t xml:space="preserve"> </t>
  </si>
  <si>
    <t xml:space="preserve">  *  Represents 5 days to start the fiscal year.</t>
  </si>
  <si>
    <t>FY2025</t>
  </si>
  <si>
    <t>FISCAL YEAR 2026</t>
  </si>
  <si>
    <t>7/5/2025 *</t>
  </si>
  <si>
    <t xml:space="preserve"> FOR THE WEEK ENDING OCTOBER 18,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</si>
</sst>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_);\(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Arial"/>
      <family val="2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164" fontId="0" fillId="0" borderId="0" xfId="0" applyNumberFormat="1" applyAlignment="1">
      <alignment horizontal="center" wrapText="1"/>
    </xf>
    <xf numFmtId="0" fontId="0" fillId="0" borderId="0" xfId="0" applyAlignment="1">
      <alignment horizontal="center" wrapText="1"/>
    </xf>
    <xf numFmtId="44" fontId="0" fillId="0" borderId="0" xfId="1" applyFont="1"/>
    <xf numFmtId="44" fontId="0" fillId="0" borderId="2" xfId="0" applyNumberFormat="1" applyBorder="1"/>
    <xf numFmtId="0" fontId="3" fillId="0" borderId="0" xfId="0" applyFont="1"/>
    <xf numFmtId="164" fontId="0" fillId="0" borderId="0" xfId="0" applyNumberFormat="1" applyAlignment="1">
      <alignment horizontal="center"/>
    </xf>
    <xf numFmtId="14" fontId="0" fillId="0" borderId="0" xfId="1" applyNumberFormat="1" applyFont="1" applyAlignment="1">
      <alignment horizontal="left"/>
    </xf>
    <xf numFmtId="44" fontId="0" fillId="0" borderId="0" xfId="1" applyFont="1" applyAlignment="1">
      <alignment horizontal="center"/>
    </xf>
    <xf numFmtId="44" fontId="0" fillId="0" borderId="2" xfId="1" applyFont="1" applyBorder="1" applyAlignment="1">
      <alignment horizontal="center"/>
    </xf>
    <xf numFmtId="164" fontId="0" fillId="0" borderId="2" xfId="0" applyNumberFormat="1" applyBorder="1" applyAlignment="1">
      <alignment horizontal="center" vertical="center"/>
    </xf>
    <xf numFmtId="44" fontId="0" fillId="0" borderId="0" xfId="0" applyNumberFormat="1"/>
    <xf numFmtId="0" fontId="6" fillId="0" borderId="0" xfId="2" applyFont="1" applyAlignment="1">
      <alignment horizontal="left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4">
    <cellStyle name="Currency" xfId="1" builtinId="4"/>
    <cellStyle name="Currency 2" xfId="3" xr:uid="{00000000-0005-0000-0000-000001000000}"/>
    <cellStyle name="Normal" xfId="0" builtinId="0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9"/>
  <sheetViews>
    <sheetView tabSelected="1" zoomScaleNormal="100" workbookViewId="0">
      <pane ySplit="7" topLeftCell="A8" activePane="bottomLeft" state="frozen"/>
      <selection pane="bottomLeft" activeCell="A26" sqref="A26"/>
    </sheetView>
  </sheetViews>
  <sheetFormatPr defaultRowHeight="15" customHeight="1" x14ac:dyDescent="0.25"/>
  <cols>
    <col min="1" max="1" width="12.7109375" customWidth="1"/>
    <col min="2" max="2" width="15.140625" bestFit="1" customWidth="1"/>
    <col min="3" max="4" width="13.42578125" bestFit="1" customWidth="1"/>
    <col min="5" max="5" width="13.140625" customWidth="1"/>
    <col min="6" max="6" width="14.28515625" customWidth="1"/>
    <col min="7" max="8" width="13.42578125" bestFit="1" customWidth="1"/>
    <col min="9" max="11" width="15.140625" bestFit="1" customWidth="1"/>
    <col min="12" max="12" width="14.28515625" bestFit="1" customWidth="1"/>
    <col min="13" max="13" width="13.42578125" bestFit="1" customWidth="1"/>
    <col min="14" max="14" width="15.140625" bestFit="1" customWidth="1"/>
    <col min="15" max="15" width="10.7109375" customWidth="1"/>
  </cols>
  <sheetData>
    <row r="1" spans="1:14" ht="18.75" x14ac:dyDescent="0.3">
      <c r="A1" s="17" t="s">
        <v>29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ht="15" customHeight="1" x14ac:dyDescent="0.25">
      <c r="A2" s="18" t="s">
        <v>25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5" customHeight="1" x14ac:dyDescent="0.25">
      <c r="A3" s="18" t="s">
        <v>35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ht="15" customHeight="1" x14ac:dyDescent="0.25">
      <c r="A4" s="18" t="s">
        <v>33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4" ht="1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7" spans="1:14" s="1" customFormat="1" ht="45" x14ac:dyDescent="0.25">
      <c r="B7" s="2" t="s">
        <v>26</v>
      </c>
      <c r="C7" s="3" t="s">
        <v>11</v>
      </c>
      <c r="D7" s="2" t="s">
        <v>12</v>
      </c>
      <c r="E7" s="2" t="s">
        <v>13</v>
      </c>
      <c r="F7" s="2" t="s">
        <v>14</v>
      </c>
      <c r="G7" s="2" t="s">
        <v>15</v>
      </c>
      <c r="H7" s="2" t="s">
        <v>16</v>
      </c>
      <c r="I7" s="2" t="s">
        <v>27</v>
      </c>
      <c r="J7" s="2" t="s">
        <v>28</v>
      </c>
      <c r="K7" s="2" t="s">
        <v>21</v>
      </c>
      <c r="L7" s="2" t="s">
        <v>22</v>
      </c>
      <c r="M7" s="2" t="s">
        <v>24</v>
      </c>
      <c r="N7" s="2" t="s">
        <v>23</v>
      </c>
    </row>
    <row r="8" spans="1:14" ht="15" customHeight="1" x14ac:dyDescent="0.25">
      <c r="A8" s="10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14" ht="15" customHeight="1" x14ac:dyDescent="0.25">
      <c r="A9" s="10" t="str">
        <f>Video!A6</f>
        <v>7/5/2025 *</v>
      </c>
      <c r="B9" s="6">
        <f>'Table Games'!B8</f>
        <v>52513</v>
      </c>
      <c r="C9" s="6">
        <f>'Table Games'!C8</f>
        <v>-2279</v>
      </c>
      <c r="D9" s="6">
        <f>'Table Games'!D8</f>
        <v>0</v>
      </c>
      <c r="E9" s="6">
        <f>'Table Games'!E8</f>
        <v>0</v>
      </c>
      <c r="F9" s="6">
        <f>'Table Games'!F8</f>
        <v>4589</v>
      </c>
      <c r="G9" s="6">
        <f>'Table Games'!G8</f>
        <v>0</v>
      </c>
      <c r="H9" s="6">
        <f>'Table Games'!H8</f>
        <v>4479</v>
      </c>
      <c r="I9" s="6">
        <f>'Table Games'!I8</f>
        <v>59302</v>
      </c>
      <c r="J9" s="6">
        <f>Video!E6</f>
        <v>36603.480000000025</v>
      </c>
      <c r="K9" s="6">
        <f>'Table Games'!J8+Video!F6</f>
        <v>30967.86</v>
      </c>
      <c r="L9" s="6">
        <f>'Table Games'!K8+Video!G6</f>
        <v>9187.69</v>
      </c>
      <c r="M9" s="6">
        <f>Video!H6</f>
        <v>1720.3600000000001</v>
      </c>
      <c r="N9" s="6">
        <f>'Table Games'!L8+Video!I6</f>
        <v>54029.570000000007</v>
      </c>
    </row>
    <row r="10" spans="1:14" ht="15" customHeight="1" x14ac:dyDescent="0.25">
      <c r="A10" s="10">
        <f>Video!A7</f>
        <v>45850</v>
      </c>
      <c r="B10" s="6">
        <f>'Table Games'!B9</f>
        <v>55388</v>
      </c>
      <c r="C10" s="6">
        <f>'Table Games'!C9</f>
        <v>4622</v>
      </c>
      <c r="D10" s="6">
        <f>'Table Games'!D9</f>
        <v>0</v>
      </c>
      <c r="E10" s="6">
        <f>'Table Games'!E9</f>
        <v>0</v>
      </c>
      <c r="F10" s="6">
        <f>'Table Games'!F9</f>
        <v>17497</v>
      </c>
      <c r="G10" s="6">
        <f>'Table Games'!G9</f>
        <v>6575</v>
      </c>
      <c r="H10" s="6">
        <f>'Table Games'!H9</f>
        <v>2811</v>
      </c>
      <c r="I10" s="6">
        <f>'Table Games'!I9</f>
        <v>86893</v>
      </c>
      <c r="J10" s="6">
        <f>Video!E7</f>
        <v>53708.339999999967</v>
      </c>
      <c r="K10" s="6">
        <f>'Table Games'!J9+Video!F7</f>
        <v>45402.880000000005</v>
      </c>
      <c r="L10" s="6">
        <f>'Table Games'!K9+Video!G7</f>
        <v>13475.07</v>
      </c>
      <c r="M10" s="6">
        <f>Video!H7</f>
        <v>2524.3000000000002</v>
      </c>
      <c r="N10" s="6">
        <f>'Table Games'!L9+Video!I7</f>
        <v>79199.09</v>
      </c>
    </row>
    <row r="11" spans="1:14" ht="15" customHeight="1" x14ac:dyDescent="0.25">
      <c r="A11" s="10">
        <f>Video!A8</f>
        <v>45857</v>
      </c>
      <c r="B11" s="6">
        <f>'Table Games'!B10</f>
        <v>-62034.5</v>
      </c>
      <c r="C11" s="6">
        <f>'Table Games'!C10</f>
        <v>58278</v>
      </c>
      <c r="D11" s="6">
        <f>'Table Games'!D10</f>
        <v>1018.75</v>
      </c>
      <c r="E11" s="6">
        <f>'Table Games'!E10</f>
        <v>0</v>
      </c>
      <c r="F11" s="6">
        <f>'Table Games'!F10</f>
        <v>3133</v>
      </c>
      <c r="G11" s="6">
        <f>'Table Games'!G10</f>
        <v>0</v>
      </c>
      <c r="H11" s="6">
        <f>'Table Games'!H10</f>
        <v>681</v>
      </c>
      <c r="I11" s="6">
        <f>'Table Games'!I10</f>
        <v>1076.25</v>
      </c>
      <c r="J11" s="6">
        <f>Video!E8</f>
        <v>-47803.130000000005</v>
      </c>
      <c r="K11" s="6">
        <f>'Table Games'!J10+Video!F8</f>
        <v>-16886.23</v>
      </c>
      <c r="L11" s="6">
        <f>'Table Games'!K10+Video!G8</f>
        <v>-8072.7199999999993</v>
      </c>
      <c r="M11" s="6">
        <f>Video!H8</f>
        <v>-2246.7600000000002</v>
      </c>
      <c r="N11" s="6">
        <f>'Table Games'!L10+Video!I8</f>
        <v>-19521.169999999998</v>
      </c>
    </row>
    <row r="12" spans="1:14" ht="15" customHeight="1" x14ac:dyDescent="0.25">
      <c r="A12" s="10">
        <f>Video!A9</f>
        <v>45864</v>
      </c>
      <c r="B12" s="6">
        <f>'Table Games'!B11</f>
        <v>135325.5</v>
      </c>
      <c r="C12" s="6">
        <f>'Table Games'!C11</f>
        <v>-23329</v>
      </c>
      <c r="D12" s="6">
        <f>'Table Games'!D11</f>
        <v>0</v>
      </c>
      <c r="E12" s="6">
        <f>'Table Games'!E11</f>
        <v>0</v>
      </c>
      <c r="F12" s="6">
        <f>'Table Games'!F11</f>
        <v>11822</v>
      </c>
      <c r="G12" s="6">
        <f>'Table Games'!G11</f>
        <v>0</v>
      </c>
      <c r="H12" s="6">
        <f>'Table Games'!H11</f>
        <v>17617</v>
      </c>
      <c r="I12" s="6">
        <f>'Table Games'!I11</f>
        <v>141435.5</v>
      </c>
      <c r="J12" s="6">
        <f>Video!E9</f>
        <v>74913.050000000047</v>
      </c>
      <c r="K12" s="6">
        <f>'Table Games'!J11+Video!F9</f>
        <v>69399.360000000001</v>
      </c>
      <c r="L12" s="6">
        <f>'Table Games'!K11+Video!G9</f>
        <v>19806.989999999998</v>
      </c>
      <c r="M12" s="6">
        <f>Video!H9</f>
        <v>3520.91</v>
      </c>
      <c r="N12" s="6">
        <f>'Table Games'!L11+Video!I9</f>
        <v>123621.29000000001</v>
      </c>
    </row>
    <row r="13" spans="1:14" ht="15" customHeight="1" x14ac:dyDescent="0.25">
      <c r="A13" s="10">
        <f>Video!A10</f>
        <v>45871</v>
      </c>
      <c r="B13" s="6">
        <f>'Table Games'!B12</f>
        <v>79056</v>
      </c>
      <c r="C13" s="6">
        <f>'Table Games'!C12</f>
        <v>52781</v>
      </c>
      <c r="D13" s="6">
        <f>'Table Games'!D12</f>
        <v>3865</v>
      </c>
      <c r="E13" s="6">
        <f>'Table Games'!E12</f>
        <v>0</v>
      </c>
      <c r="F13" s="6">
        <f>'Table Games'!F12</f>
        <v>10669</v>
      </c>
      <c r="G13" s="6">
        <f>'Table Games'!G12</f>
        <v>-49925</v>
      </c>
      <c r="H13" s="6">
        <f>'Table Games'!H12</f>
        <v>9896</v>
      </c>
      <c r="I13" s="6">
        <f>'Table Games'!I12</f>
        <v>106342</v>
      </c>
      <c r="J13" s="6">
        <f>Video!E10</f>
        <v>127307.58999999985</v>
      </c>
      <c r="K13" s="6">
        <f>'Table Games'!J12+Video!F10</f>
        <v>77733.33</v>
      </c>
      <c r="L13" s="6">
        <f>'Table Games'!K12+Video!G10</f>
        <v>26959.4</v>
      </c>
      <c r="M13" s="6">
        <f>Video!H10</f>
        <v>5983.45</v>
      </c>
      <c r="N13" s="6">
        <f>'Table Games'!L12+Video!I10</f>
        <v>122973.41</v>
      </c>
    </row>
    <row r="14" spans="1:14" ht="15" customHeight="1" x14ac:dyDescent="0.25">
      <c r="A14" s="10">
        <f>Video!A11</f>
        <v>45878</v>
      </c>
      <c r="B14" s="6">
        <f>'Table Games'!B13</f>
        <v>117258.5</v>
      </c>
      <c r="C14" s="6">
        <f>'Table Games'!C13</f>
        <v>-22058</v>
      </c>
      <c r="D14" s="6">
        <f>'Table Games'!D13</f>
        <v>9292</v>
      </c>
      <c r="E14" s="6">
        <f>'Table Games'!E13</f>
        <v>0</v>
      </c>
      <c r="F14" s="6">
        <f>'Table Games'!F13</f>
        <v>5990</v>
      </c>
      <c r="G14" s="6">
        <f>'Table Games'!G13</f>
        <v>-15475</v>
      </c>
      <c r="H14" s="6">
        <f>'Table Games'!H13</f>
        <v>2391</v>
      </c>
      <c r="I14" s="6">
        <f>'Table Games'!I13</f>
        <v>97398.5</v>
      </c>
      <c r="J14" s="6">
        <f>Video!E11</f>
        <v>51203.669999999925</v>
      </c>
      <c r="K14" s="6">
        <f>'Table Games'!J13+Video!F11</f>
        <v>47652.869999999995</v>
      </c>
      <c r="L14" s="6">
        <f>'Table Games'!K13+Video!G11</f>
        <v>13574.550000000001</v>
      </c>
      <c r="M14" s="6">
        <f>Video!H11</f>
        <v>2406.5800000000004</v>
      </c>
      <c r="N14" s="6">
        <f>'Table Games'!L13+Video!I11</f>
        <v>84968.17</v>
      </c>
    </row>
    <row r="15" spans="1:14" ht="15" customHeight="1" x14ac:dyDescent="0.25">
      <c r="A15" s="10">
        <f>Video!A12</f>
        <v>45885</v>
      </c>
      <c r="B15" s="6">
        <f>'Table Games'!B14</f>
        <v>-5502</v>
      </c>
      <c r="C15" s="6">
        <f>'Table Games'!C14</f>
        <v>21413</v>
      </c>
      <c r="D15" s="6">
        <f>'Table Games'!D14</f>
        <v>0</v>
      </c>
      <c r="E15" s="6">
        <f>'Table Games'!E14</f>
        <v>0</v>
      </c>
      <c r="F15" s="6">
        <f>'Table Games'!F14</f>
        <v>1696.5</v>
      </c>
      <c r="G15" s="6">
        <f>'Table Games'!G14</f>
        <v>15549</v>
      </c>
      <c r="H15" s="6">
        <f>'Table Games'!H14</f>
        <v>-7062</v>
      </c>
      <c r="I15" s="6">
        <f>'Table Games'!I14</f>
        <v>26094.5</v>
      </c>
      <c r="J15" s="6">
        <f>Video!E12</f>
        <v>60061.780000000028</v>
      </c>
      <c r="K15" s="6">
        <f>'Table Games'!J14+Video!F12</f>
        <v>29450.590000000004</v>
      </c>
      <c r="L15" s="6">
        <f>'Table Games'!K14+Video!G12</f>
        <v>11515.24</v>
      </c>
      <c r="M15" s="6">
        <f>Video!H12</f>
        <v>2822.9</v>
      </c>
      <c r="N15" s="6">
        <f>'Table Games'!L14+Video!I12</f>
        <v>42367.55</v>
      </c>
    </row>
    <row r="16" spans="1:14" ht="15" customHeight="1" x14ac:dyDescent="0.25">
      <c r="A16" s="10">
        <f>Video!A13</f>
        <v>45892</v>
      </c>
      <c r="B16" s="6">
        <f>'Table Games'!B15</f>
        <v>-15660</v>
      </c>
      <c r="C16" s="6">
        <f>'Table Games'!C15</f>
        <v>-3696</v>
      </c>
      <c r="D16" s="6">
        <f>'Table Games'!D15</f>
        <v>17636.5</v>
      </c>
      <c r="E16" s="6">
        <f>'Table Games'!E15</f>
        <v>0</v>
      </c>
      <c r="F16" s="6">
        <f>'Table Games'!F15</f>
        <v>17177</v>
      </c>
      <c r="G16" s="6">
        <f>'Table Games'!G15</f>
        <v>0</v>
      </c>
      <c r="H16" s="6">
        <f>'Table Games'!H15</f>
        <v>12693</v>
      </c>
      <c r="I16" s="6">
        <f>'Table Games'!I15</f>
        <v>28150.5</v>
      </c>
      <c r="J16" s="6">
        <f>Video!E13</f>
        <v>143329.58000000007</v>
      </c>
      <c r="K16" s="6">
        <f>'Table Games'!J15+Video!F13</f>
        <v>60043.8</v>
      </c>
      <c r="L16" s="6">
        <f>'Table Games'!K15+Video!G13</f>
        <v>25773.55</v>
      </c>
      <c r="M16" s="6">
        <f>Video!H13</f>
        <v>6736.5</v>
      </c>
      <c r="N16" s="6">
        <f>'Table Games'!L15+Video!I13</f>
        <v>78926.23000000001</v>
      </c>
    </row>
    <row r="17" spans="1:14" ht="15" customHeight="1" x14ac:dyDescent="0.25">
      <c r="A17" s="10">
        <f>Video!A14</f>
        <v>45899</v>
      </c>
      <c r="B17" s="6">
        <f>'Table Games'!B16</f>
        <v>79000.5</v>
      </c>
      <c r="C17" s="6">
        <f>'Table Games'!C16</f>
        <v>-19084</v>
      </c>
      <c r="D17" s="6">
        <f>'Table Games'!D16</f>
        <v>0</v>
      </c>
      <c r="E17" s="6">
        <f>'Table Games'!E16</f>
        <v>0</v>
      </c>
      <c r="F17" s="6">
        <f>'Table Games'!F16</f>
        <v>8217</v>
      </c>
      <c r="G17" s="6">
        <f>'Table Games'!G16</f>
        <v>0</v>
      </c>
      <c r="H17" s="6">
        <f>'Table Games'!H16</f>
        <v>19215</v>
      </c>
      <c r="I17" s="6">
        <f>'Table Games'!I16</f>
        <v>87348.5</v>
      </c>
      <c r="J17" s="6">
        <f>Video!E14</f>
        <v>71187.289999999921</v>
      </c>
      <c r="K17" s="6">
        <f>'Table Games'!J16+Video!F14</f>
        <v>51831.99</v>
      </c>
      <c r="L17" s="6">
        <f>'Table Games'!K16+Video!G14</f>
        <v>16469.27</v>
      </c>
      <c r="M17" s="6">
        <f>Video!H14</f>
        <v>3345.8</v>
      </c>
      <c r="N17" s="6">
        <f>'Table Games'!L16+Video!I14</f>
        <v>86888.73</v>
      </c>
    </row>
    <row r="18" spans="1:14" ht="15" customHeight="1" x14ac:dyDescent="0.25">
      <c r="A18" s="10">
        <f>Video!A15</f>
        <v>45906</v>
      </c>
      <c r="B18" s="6">
        <f>'Table Games'!B17</f>
        <v>9754</v>
      </c>
      <c r="C18" s="6">
        <f>'Table Games'!C17</f>
        <v>4593</v>
      </c>
      <c r="D18" s="6">
        <f>'Table Games'!D17</f>
        <v>0</v>
      </c>
      <c r="E18" s="6">
        <f>'Table Games'!E17</f>
        <v>0</v>
      </c>
      <c r="F18" s="6">
        <f>'Table Games'!F17</f>
        <v>5209</v>
      </c>
      <c r="G18" s="6">
        <f>'Table Games'!G17</f>
        <v>0</v>
      </c>
      <c r="H18" s="6">
        <f>'Table Games'!H17</f>
        <v>5367</v>
      </c>
      <c r="I18" s="6">
        <f>'Table Games'!I17</f>
        <v>24923</v>
      </c>
      <c r="J18" s="6">
        <f>Video!E15</f>
        <v>4721.7500000000582</v>
      </c>
      <c r="K18" s="6">
        <f>'Table Games'!J17+Video!F15</f>
        <v>9176.7099999999991</v>
      </c>
      <c r="L18" s="6">
        <f>'Table Games'!K17+Video!G15</f>
        <v>2048.8500000000004</v>
      </c>
      <c r="M18" s="6">
        <f>Video!H15</f>
        <v>221.92999999999998</v>
      </c>
      <c r="N18" s="6">
        <f>'Table Games'!L17+Video!I15</f>
        <v>18197.260000000002</v>
      </c>
    </row>
    <row r="19" spans="1:14" ht="15" customHeight="1" x14ac:dyDescent="0.25">
      <c r="A19" s="10">
        <f>Video!A16</f>
        <v>45913</v>
      </c>
      <c r="B19" s="6">
        <f>'Table Games'!B18</f>
        <v>-4277.5</v>
      </c>
      <c r="C19" s="6">
        <f>'Table Games'!C18</f>
        <v>13317</v>
      </c>
      <c r="D19" s="6">
        <f>'Table Games'!D18</f>
        <v>0</v>
      </c>
      <c r="E19" s="6">
        <f>'Table Games'!E18</f>
        <v>0</v>
      </c>
      <c r="F19" s="6">
        <f>'Table Games'!F18</f>
        <v>-5476</v>
      </c>
      <c r="G19" s="6">
        <f>'Table Games'!G18</f>
        <v>0</v>
      </c>
      <c r="H19" s="6">
        <f>'Table Games'!H18</f>
        <v>3088</v>
      </c>
      <c r="I19" s="6">
        <f>'Table Games'!I18</f>
        <v>6651.5</v>
      </c>
      <c r="J19" s="6">
        <f>Video!E16</f>
        <v>14566.770000000077</v>
      </c>
      <c r="K19" s="6">
        <f>'Table Games'!J18+Video!F16</f>
        <v>7239.46</v>
      </c>
      <c r="L19" s="6">
        <f>'Table Games'!K18+Video!G16</f>
        <v>2808.94</v>
      </c>
      <c r="M19" s="6">
        <f>Video!H16</f>
        <v>684.65</v>
      </c>
      <c r="N19" s="6">
        <f>'Table Games'!L18+Video!I16</f>
        <v>10485.219999999999</v>
      </c>
    </row>
    <row r="20" spans="1:14" ht="15" customHeight="1" x14ac:dyDescent="0.25">
      <c r="A20" s="10">
        <f>Video!A17</f>
        <v>45920</v>
      </c>
      <c r="B20" s="6">
        <f>'Table Games'!B19</f>
        <v>31369</v>
      </c>
      <c r="C20" s="6">
        <f>'Table Games'!C19</f>
        <v>-21909</v>
      </c>
      <c r="D20" s="6">
        <f>'Table Games'!D19</f>
        <v>0</v>
      </c>
      <c r="E20" s="6">
        <f>'Table Games'!E19</f>
        <v>0</v>
      </c>
      <c r="F20" s="6">
        <f>'Table Games'!F19</f>
        <v>20026</v>
      </c>
      <c r="G20" s="6">
        <f>'Table Games'!G19</f>
        <v>0</v>
      </c>
      <c r="H20" s="6">
        <f>'Table Games'!H19</f>
        <v>9666</v>
      </c>
      <c r="I20" s="6">
        <f>'Table Games'!I19</f>
        <v>39152</v>
      </c>
      <c r="J20" s="6">
        <f>Video!E17</f>
        <v>53644.800000000047</v>
      </c>
      <c r="K20" s="6">
        <f>'Table Games'!J19+Video!F17</f>
        <v>31057.72</v>
      </c>
      <c r="L20" s="6">
        <f>'Table Games'!K19+Video!G17</f>
        <v>11077.220000000001</v>
      </c>
      <c r="M20" s="6">
        <f>Video!H17</f>
        <v>2521.31</v>
      </c>
      <c r="N20" s="6">
        <f>'Table Games'!L19+Video!I17</f>
        <v>48140.55</v>
      </c>
    </row>
    <row r="21" spans="1:14" ht="15" customHeight="1" x14ac:dyDescent="0.25">
      <c r="A21" s="10">
        <f>Video!A18</f>
        <v>45927</v>
      </c>
      <c r="B21" s="6">
        <f>'Table Games'!B20</f>
        <v>279493.5</v>
      </c>
      <c r="C21" s="6">
        <f>'Table Games'!C20</f>
        <v>-1662</v>
      </c>
      <c r="D21" s="6">
        <f>'Table Games'!D20</f>
        <v>0</v>
      </c>
      <c r="E21" s="6">
        <f>'Table Games'!E20</f>
        <v>0</v>
      </c>
      <c r="F21" s="6">
        <f>'Table Games'!F20</f>
        <v>47555</v>
      </c>
      <c r="G21" s="6">
        <f>'Table Games'!G20</f>
        <v>0</v>
      </c>
      <c r="H21" s="6">
        <f>'Table Games'!H20</f>
        <v>8972</v>
      </c>
      <c r="I21" s="6">
        <f>'Table Games'!I20</f>
        <v>334358.5</v>
      </c>
      <c r="J21" s="6">
        <f>Video!E18</f>
        <v>54591.409999999916</v>
      </c>
      <c r="K21" s="6">
        <f>'Table Games'!J20+Video!F18</f>
        <v>119960.47</v>
      </c>
      <c r="L21" s="6">
        <f>'Table Games'!K20+Video!G18</f>
        <v>25998.46</v>
      </c>
      <c r="M21" s="6">
        <f>Video!H18</f>
        <v>2565.79</v>
      </c>
      <c r="N21" s="6">
        <f>'Table Games'!L20+Video!I18</f>
        <v>240425.19</v>
      </c>
    </row>
    <row r="22" spans="1:14" ht="15" customHeight="1" x14ac:dyDescent="0.25">
      <c r="A22" s="10">
        <f>Video!A19</f>
        <v>45934</v>
      </c>
      <c r="B22" s="6">
        <f>'Table Games'!B21</f>
        <v>51392.5</v>
      </c>
      <c r="C22" s="6">
        <f>'Table Games'!C21</f>
        <v>5306</v>
      </c>
      <c r="D22" s="6">
        <f>'Table Games'!D21</f>
        <v>0</v>
      </c>
      <c r="E22" s="6">
        <f>'Table Games'!E21</f>
        <v>0</v>
      </c>
      <c r="F22" s="6">
        <f>'Table Games'!F21</f>
        <v>-2486</v>
      </c>
      <c r="G22" s="6">
        <f>'Table Games'!G21</f>
        <v>0</v>
      </c>
      <c r="H22" s="6">
        <f>'Table Games'!H21</f>
        <v>9582</v>
      </c>
      <c r="I22" s="6">
        <f>'Table Games'!I21</f>
        <v>63794.5</v>
      </c>
      <c r="J22" s="6">
        <f>Video!E19</f>
        <v>23592.160000000033</v>
      </c>
      <c r="K22" s="6">
        <f>'Table Games'!J21+Video!F19</f>
        <v>27631.54</v>
      </c>
      <c r="L22" s="6">
        <f>'Table Games'!K21+Video!G19</f>
        <v>7200.4</v>
      </c>
      <c r="M22" s="6">
        <f>Video!H19</f>
        <v>1108.83</v>
      </c>
      <c r="N22" s="6">
        <f>'Table Games'!L21+Video!I19</f>
        <v>51445.89</v>
      </c>
    </row>
    <row r="23" spans="1:14" ht="15" customHeight="1" x14ac:dyDescent="0.25">
      <c r="A23" s="10">
        <f>Video!A20</f>
        <v>45941</v>
      </c>
      <c r="B23" s="6">
        <f>'Table Games'!B22</f>
        <v>18002.5</v>
      </c>
      <c r="C23" s="6">
        <f>'Table Games'!C22</f>
        <v>9296</v>
      </c>
      <c r="D23" s="6">
        <f>'Table Games'!D22</f>
        <v>-2352</v>
      </c>
      <c r="E23" s="6">
        <f>'Table Games'!E22</f>
        <v>0</v>
      </c>
      <c r="F23" s="6">
        <f>'Table Games'!F22</f>
        <v>8364</v>
      </c>
      <c r="G23" s="6">
        <f>'Table Games'!G22</f>
        <v>0</v>
      </c>
      <c r="H23" s="6">
        <f>'Table Games'!H22</f>
        <v>6665</v>
      </c>
      <c r="I23" s="6">
        <f>'Table Games'!I22</f>
        <v>39975.5</v>
      </c>
      <c r="J23" s="6">
        <f>Video!E20</f>
        <v>45956.220000000088</v>
      </c>
      <c r="K23" s="6">
        <f>'Table Games'!J22+Video!F20</f>
        <v>28536.880000000005</v>
      </c>
      <c r="L23" s="6">
        <f>'Table Games'!K22+Video!G20</f>
        <v>9811.34</v>
      </c>
      <c r="M23" s="6">
        <f>Video!H20</f>
        <v>2159.9500000000003</v>
      </c>
      <c r="N23" s="6">
        <f>'Table Games'!L22+Video!I20</f>
        <v>45423.55</v>
      </c>
    </row>
    <row r="24" spans="1:14" ht="15" customHeight="1" x14ac:dyDescent="0.25">
      <c r="A24" s="10">
        <f>Video!A21</f>
        <v>45948</v>
      </c>
      <c r="B24" s="6">
        <f>'Table Games'!B23</f>
        <v>26178.5</v>
      </c>
      <c r="C24" s="6">
        <f>'Table Games'!C23</f>
        <v>55592</v>
      </c>
      <c r="D24" s="6">
        <f>'Table Games'!D23</f>
        <v>0</v>
      </c>
      <c r="E24" s="6">
        <f>'Table Games'!E23</f>
        <v>0</v>
      </c>
      <c r="F24" s="6">
        <f>'Table Games'!F23</f>
        <v>-3054</v>
      </c>
      <c r="G24" s="6">
        <f>'Table Games'!G23</f>
        <v>0</v>
      </c>
      <c r="H24" s="6">
        <f>'Table Games'!H23</f>
        <v>5925</v>
      </c>
      <c r="I24" s="6">
        <f>'Table Games'!I23</f>
        <v>84641.5</v>
      </c>
      <c r="J24" s="6">
        <f>Video!E21</f>
        <v>38055.309999999939</v>
      </c>
      <c r="K24" s="6">
        <f>'Table Games'!J23+Video!F21</f>
        <v>39092.370000000003</v>
      </c>
      <c r="L24" s="6">
        <f>'Table Games'!K23+Video!G21</f>
        <v>10701.48</v>
      </c>
      <c r="M24" s="6">
        <f>Video!H21</f>
        <v>1788.59</v>
      </c>
      <c r="N24" s="6">
        <f>'Table Games'!L23+Video!I21</f>
        <v>71114.37</v>
      </c>
    </row>
    <row r="25" spans="1:14" ht="15" customHeight="1" x14ac:dyDescent="0.25">
      <c r="A25" s="10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4" ht="15" customHeight="1" thickBot="1" x14ac:dyDescent="0.3">
      <c r="B26" s="7">
        <f t="shared" ref="B26:N26" si="0">SUM(B9:B25)</f>
        <v>847257.5</v>
      </c>
      <c r="C26" s="7">
        <f t="shared" si="0"/>
        <v>131181</v>
      </c>
      <c r="D26" s="7">
        <f t="shared" si="0"/>
        <v>29460.25</v>
      </c>
      <c r="E26" s="7">
        <f t="shared" si="0"/>
        <v>0</v>
      </c>
      <c r="F26" s="7">
        <f t="shared" si="0"/>
        <v>150928.5</v>
      </c>
      <c r="G26" s="7">
        <f t="shared" si="0"/>
        <v>-43276</v>
      </c>
      <c r="H26" s="7">
        <f t="shared" si="0"/>
        <v>111986</v>
      </c>
      <c r="I26" s="7">
        <f t="shared" si="0"/>
        <v>1227537.25</v>
      </c>
      <c r="J26" s="7">
        <f t="shared" si="0"/>
        <v>805640.07</v>
      </c>
      <c r="K26" s="7">
        <f t="shared" si="0"/>
        <v>658291.60000000009</v>
      </c>
      <c r="L26" s="7">
        <f t="shared" si="0"/>
        <v>198335.73</v>
      </c>
      <c r="M26" s="7">
        <f t="shared" si="0"/>
        <v>37865.089999999997</v>
      </c>
      <c r="N26" s="7">
        <f t="shared" si="0"/>
        <v>1138684.8999999999</v>
      </c>
    </row>
    <row r="27" spans="1:14" ht="15" customHeight="1" thickTop="1" x14ac:dyDescent="0.25"/>
    <row r="28" spans="1:14" ht="15" customHeight="1" x14ac:dyDescent="0.25">
      <c r="A28" s="15" t="s">
        <v>31</v>
      </c>
    </row>
    <row r="29" spans="1:14" ht="15" customHeight="1" x14ac:dyDescent="0.25">
      <c r="A29" s="16"/>
    </row>
  </sheetData>
  <mergeCells count="4">
    <mergeCell ref="A1:N1"/>
    <mergeCell ref="A2:N2"/>
    <mergeCell ref="A4:N4"/>
    <mergeCell ref="A3:N3"/>
  </mergeCells>
  <pageMargins left="0.25" right="0.25" top="0.5" bottom="0.5" header="0" footer="0"/>
  <pageSetup scale="68" orientation="landscape" r:id="rId1"/>
  <headerFooter>
    <oddFooter>&amp;L&amp;"Arial,Regular"&amp;8&amp;F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27"/>
  <sheetViews>
    <sheetView zoomScaleNormal="100" workbookViewId="0">
      <pane ySplit="5" topLeftCell="A6" activePane="bottomLeft" state="frozen"/>
      <selection pane="bottomLeft" activeCell="A25" sqref="A25"/>
    </sheetView>
  </sheetViews>
  <sheetFormatPr defaultRowHeight="15" customHeight="1" x14ac:dyDescent="0.25"/>
  <cols>
    <col min="1" max="1" width="12.7109375" customWidth="1"/>
    <col min="2" max="2" width="15" bestFit="1" customWidth="1"/>
    <col min="3" max="3" width="13.28515625" bestFit="1" customWidth="1"/>
    <col min="4" max="4" width="14.85546875" customWidth="1"/>
    <col min="5" max="5" width="13.42578125" bestFit="1" customWidth="1"/>
    <col min="6" max="6" width="14.7109375" customWidth="1"/>
    <col min="7" max="7" width="14.28515625" bestFit="1" customWidth="1"/>
    <col min="8" max="8" width="13.28515625" bestFit="1" customWidth="1"/>
    <col min="9" max="10" width="15" bestFit="1" customWidth="1"/>
    <col min="11" max="11" width="14.28515625" bestFit="1" customWidth="1"/>
    <col min="12" max="12" width="15" bestFit="1" customWidth="1"/>
    <col min="13" max="13" width="10.7109375" customWidth="1"/>
  </cols>
  <sheetData>
    <row r="1" spans="1:12" s="1" customFormat="1" ht="60" x14ac:dyDescent="0.25">
      <c r="B1" s="2" t="s">
        <v>26</v>
      </c>
      <c r="C1" s="3" t="s">
        <v>11</v>
      </c>
      <c r="D1" s="2" t="s">
        <v>12</v>
      </c>
      <c r="E1" s="2" t="s">
        <v>13</v>
      </c>
      <c r="F1" s="2" t="s">
        <v>14</v>
      </c>
      <c r="G1" s="2" t="s">
        <v>15</v>
      </c>
      <c r="H1" s="2" t="s">
        <v>16</v>
      </c>
      <c r="I1" s="2" t="s">
        <v>17</v>
      </c>
      <c r="J1" s="2" t="s">
        <v>18</v>
      </c>
      <c r="K1" s="2" t="s">
        <v>19</v>
      </c>
      <c r="L1" s="2" t="s">
        <v>20</v>
      </c>
    </row>
    <row r="2" spans="1:12" s="1" customFormat="1" ht="15" customHeight="1" x14ac:dyDescent="0.25">
      <c r="B2" s="4">
        <v>26</v>
      </c>
      <c r="C2" s="9">
        <v>2</v>
      </c>
      <c r="D2" s="4">
        <v>1</v>
      </c>
      <c r="E2" s="4"/>
      <c r="F2" s="4">
        <v>2</v>
      </c>
      <c r="G2" s="4">
        <v>1</v>
      </c>
      <c r="H2" s="4">
        <v>1</v>
      </c>
      <c r="I2" s="4">
        <f>SUM(B2:H2)</f>
        <v>33</v>
      </c>
      <c r="J2" s="5"/>
      <c r="K2" s="5"/>
      <c r="L2" s="5"/>
    </row>
    <row r="3" spans="1:12" s="1" customFormat="1" ht="15" customHeight="1" x14ac:dyDescent="0.25">
      <c r="B3" s="5"/>
      <c r="D3" s="5"/>
      <c r="E3" s="5"/>
      <c r="F3" s="5"/>
      <c r="G3" s="5"/>
      <c r="H3" s="5"/>
      <c r="I3" s="5"/>
      <c r="J3" s="5"/>
      <c r="K3" s="5"/>
      <c r="L3" s="5"/>
    </row>
    <row r="4" spans="1:12" ht="15" customHeight="1" x14ac:dyDescent="0.25">
      <c r="A4" t="s">
        <v>32</v>
      </c>
      <c r="B4" s="14">
        <v>3696135.5</v>
      </c>
      <c r="C4" s="14">
        <v>490109</v>
      </c>
      <c r="D4" s="14">
        <v>49623.75</v>
      </c>
      <c r="E4" s="14">
        <v>980</v>
      </c>
      <c r="F4" s="14">
        <v>378755</v>
      </c>
      <c r="G4" s="14">
        <v>5008</v>
      </c>
      <c r="H4" s="14">
        <v>252785.997</v>
      </c>
      <c r="I4" s="14">
        <v>4873397.2469999995</v>
      </c>
      <c r="J4" s="14">
        <v>1462019.1999999995</v>
      </c>
      <c r="K4" s="14">
        <v>243669.96000000005</v>
      </c>
      <c r="L4" s="14">
        <v>3167708.0000000005</v>
      </c>
    </row>
    <row r="6" spans="1:12" ht="15" customHeight="1" x14ac:dyDescent="0.25">
      <c r="A6" s="19" t="s">
        <v>33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2" ht="15" customHeight="1" x14ac:dyDescent="0.25">
      <c r="A7" s="10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5" customHeight="1" x14ac:dyDescent="0.25">
      <c r="A8" s="10" t="str">
        <f>Video!A6</f>
        <v>7/5/2025 *</v>
      </c>
      <c r="B8" s="6">
        <v>52513</v>
      </c>
      <c r="C8" s="6">
        <v>-2279</v>
      </c>
      <c r="D8" s="6">
        <v>0</v>
      </c>
      <c r="E8" s="6">
        <v>0</v>
      </c>
      <c r="F8" s="6">
        <v>4589</v>
      </c>
      <c r="G8" s="6">
        <v>0</v>
      </c>
      <c r="H8" s="6">
        <v>4479</v>
      </c>
      <c r="I8" s="6">
        <f t="shared" ref="I8" si="0">SUM(B8:H8)</f>
        <v>59302</v>
      </c>
      <c r="J8" s="6">
        <f t="shared" ref="J8:J23" si="1">ROUND($I8*0.3,2)</f>
        <v>17790.599999999999</v>
      </c>
      <c r="K8" s="6">
        <f t="shared" ref="K8:K23" si="2">ROUND($I8*0.05,2)</f>
        <v>2965.1</v>
      </c>
      <c r="L8" s="6">
        <f>ROUND($I8*0.65,2)</f>
        <v>38546.300000000003</v>
      </c>
    </row>
    <row r="9" spans="1:12" ht="15" customHeight="1" x14ac:dyDescent="0.25">
      <c r="A9" s="10">
        <f>Video!A7</f>
        <v>45850</v>
      </c>
      <c r="B9" s="6">
        <v>55388</v>
      </c>
      <c r="C9" s="6">
        <v>4622</v>
      </c>
      <c r="D9" s="6">
        <v>0</v>
      </c>
      <c r="E9" s="6">
        <v>0</v>
      </c>
      <c r="F9" s="6">
        <v>17497</v>
      </c>
      <c r="G9" s="6">
        <v>6575</v>
      </c>
      <c r="H9" s="6">
        <v>2811</v>
      </c>
      <c r="I9" s="6">
        <f t="shared" ref="I9" si="3">SUM(B9:H9)</f>
        <v>86893</v>
      </c>
      <c r="J9" s="6">
        <f t="shared" si="1"/>
        <v>26067.9</v>
      </c>
      <c r="K9" s="6">
        <f t="shared" si="2"/>
        <v>4344.6499999999996</v>
      </c>
      <c r="L9" s="6">
        <f>ROUND($I9*0.65,2)</f>
        <v>56480.45</v>
      </c>
    </row>
    <row r="10" spans="1:12" ht="15" customHeight="1" x14ac:dyDescent="0.25">
      <c r="A10" s="10">
        <f>Video!A8</f>
        <v>45857</v>
      </c>
      <c r="B10" s="6">
        <v>-62034.5</v>
      </c>
      <c r="C10" s="6">
        <v>58278</v>
      </c>
      <c r="D10" s="6">
        <v>1018.75</v>
      </c>
      <c r="E10" s="6">
        <v>0</v>
      </c>
      <c r="F10" s="6">
        <v>3133</v>
      </c>
      <c r="G10" s="6">
        <v>0</v>
      </c>
      <c r="H10" s="6">
        <v>681</v>
      </c>
      <c r="I10" s="6">
        <f t="shared" ref="I10" si="4">SUM(B10:H10)</f>
        <v>1076.25</v>
      </c>
      <c r="J10" s="6">
        <f t="shared" si="1"/>
        <v>322.88</v>
      </c>
      <c r="K10" s="6">
        <f t="shared" si="2"/>
        <v>53.81</v>
      </c>
      <c r="L10" s="6">
        <f>ROUND($I10*0.65,2)</f>
        <v>699.56</v>
      </c>
    </row>
    <row r="11" spans="1:12" ht="15" customHeight="1" x14ac:dyDescent="0.25">
      <c r="A11" s="10">
        <f>Video!A9</f>
        <v>45864</v>
      </c>
      <c r="B11" s="6">
        <v>135325.5</v>
      </c>
      <c r="C11" s="6">
        <v>-23329</v>
      </c>
      <c r="D11" s="6">
        <v>0</v>
      </c>
      <c r="E11" s="6">
        <v>0</v>
      </c>
      <c r="F11" s="6">
        <v>11822</v>
      </c>
      <c r="G11" s="6">
        <v>0</v>
      </c>
      <c r="H11" s="6">
        <v>17617</v>
      </c>
      <c r="I11" s="6">
        <f t="shared" ref="I11" si="5">SUM(B11:H11)</f>
        <v>141435.5</v>
      </c>
      <c r="J11" s="6">
        <f t="shared" si="1"/>
        <v>42430.65</v>
      </c>
      <c r="K11" s="6">
        <f t="shared" si="2"/>
        <v>7071.78</v>
      </c>
      <c r="L11" s="6">
        <f>ROUND($I11*0.65,2)-0.01</f>
        <v>91933.07</v>
      </c>
    </row>
    <row r="12" spans="1:12" ht="15" customHeight="1" x14ac:dyDescent="0.25">
      <c r="A12" s="10">
        <f>Video!A10</f>
        <v>45871</v>
      </c>
      <c r="B12" s="6">
        <v>79056</v>
      </c>
      <c r="C12" s="6">
        <v>52781</v>
      </c>
      <c r="D12" s="6">
        <v>3865</v>
      </c>
      <c r="E12" s="6">
        <v>0</v>
      </c>
      <c r="F12" s="6">
        <v>10669</v>
      </c>
      <c r="G12" s="6">
        <v>-49925</v>
      </c>
      <c r="H12" s="6">
        <v>9896</v>
      </c>
      <c r="I12" s="6">
        <f t="shared" ref="I12" si="6">SUM(B12:H12)</f>
        <v>106342</v>
      </c>
      <c r="J12" s="6">
        <f t="shared" si="1"/>
        <v>31902.6</v>
      </c>
      <c r="K12" s="6">
        <f t="shared" si="2"/>
        <v>5317.1</v>
      </c>
      <c r="L12" s="6">
        <f>ROUND($I12*0.65,2)</f>
        <v>69122.3</v>
      </c>
    </row>
    <row r="13" spans="1:12" ht="15" customHeight="1" x14ac:dyDescent="0.25">
      <c r="A13" s="10">
        <f>Video!A11</f>
        <v>45878</v>
      </c>
      <c r="B13" s="6">
        <v>117258.5</v>
      </c>
      <c r="C13" s="6">
        <v>-22058</v>
      </c>
      <c r="D13" s="6">
        <v>9292</v>
      </c>
      <c r="E13" s="6">
        <v>0</v>
      </c>
      <c r="F13" s="6">
        <v>5990</v>
      </c>
      <c r="G13" s="6">
        <v>-15475</v>
      </c>
      <c r="H13" s="6">
        <v>2391</v>
      </c>
      <c r="I13" s="6">
        <f t="shared" ref="I13" si="7">SUM(B13:H13)</f>
        <v>97398.5</v>
      </c>
      <c r="J13" s="6">
        <f t="shared" si="1"/>
        <v>29219.55</v>
      </c>
      <c r="K13" s="6">
        <f t="shared" si="2"/>
        <v>4869.93</v>
      </c>
      <c r="L13" s="6">
        <f>ROUND($I13*0.65,2)-0.01</f>
        <v>63309.02</v>
      </c>
    </row>
    <row r="14" spans="1:12" ht="15" customHeight="1" x14ac:dyDescent="0.25">
      <c r="A14" s="10">
        <f>Video!A12</f>
        <v>45885</v>
      </c>
      <c r="B14" s="6">
        <v>-5502</v>
      </c>
      <c r="C14" s="6">
        <v>21413</v>
      </c>
      <c r="D14" s="6">
        <v>0</v>
      </c>
      <c r="E14" s="6">
        <v>0</v>
      </c>
      <c r="F14" s="6">
        <v>1696.5</v>
      </c>
      <c r="G14" s="6">
        <v>15549</v>
      </c>
      <c r="H14" s="6">
        <v>-7062</v>
      </c>
      <c r="I14" s="6">
        <f t="shared" ref="I14" si="8">SUM(B14:H14)</f>
        <v>26094.5</v>
      </c>
      <c r="J14" s="6">
        <f t="shared" si="1"/>
        <v>7828.35</v>
      </c>
      <c r="K14" s="6">
        <f t="shared" si="2"/>
        <v>1304.73</v>
      </c>
      <c r="L14" s="6">
        <f>ROUND($I14*0.65,2)-0.01</f>
        <v>16961.420000000002</v>
      </c>
    </row>
    <row r="15" spans="1:12" ht="15" customHeight="1" x14ac:dyDescent="0.25">
      <c r="A15" s="10">
        <f>Video!A13</f>
        <v>45892</v>
      </c>
      <c r="B15" s="6">
        <v>-15660</v>
      </c>
      <c r="C15" s="6">
        <v>-3696</v>
      </c>
      <c r="D15" s="6">
        <v>17636.5</v>
      </c>
      <c r="E15" s="6">
        <v>0</v>
      </c>
      <c r="F15" s="6">
        <v>17177</v>
      </c>
      <c r="G15" s="6">
        <v>0</v>
      </c>
      <c r="H15" s="6">
        <v>12693</v>
      </c>
      <c r="I15" s="6">
        <f t="shared" ref="I15" si="9">SUM(B15:H15)</f>
        <v>28150.5</v>
      </c>
      <c r="J15" s="6">
        <f t="shared" si="1"/>
        <v>8445.15</v>
      </c>
      <c r="K15" s="6">
        <f t="shared" si="2"/>
        <v>1407.53</v>
      </c>
      <c r="L15" s="6">
        <f>ROUND($I15*0.65,2)-0.01</f>
        <v>18297.820000000003</v>
      </c>
    </row>
    <row r="16" spans="1:12" ht="15" customHeight="1" x14ac:dyDescent="0.25">
      <c r="A16" s="10">
        <f>Video!A14</f>
        <v>45899</v>
      </c>
      <c r="B16" s="6">
        <v>79000.5</v>
      </c>
      <c r="C16" s="6">
        <v>-19084</v>
      </c>
      <c r="D16" s="6">
        <v>0</v>
      </c>
      <c r="E16" s="6">
        <v>0</v>
      </c>
      <c r="F16" s="6">
        <v>8217</v>
      </c>
      <c r="G16" s="6">
        <v>0</v>
      </c>
      <c r="H16" s="6">
        <v>19215</v>
      </c>
      <c r="I16" s="6">
        <f t="shared" ref="I16" si="10">SUM(B16:H16)</f>
        <v>87348.5</v>
      </c>
      <c r="J16" s="6">
        <f t="shared" si="1"/>
        <v>26204.55</v>
      </c>
      <c r="K16" s="6">
        <f t="shared" si="2"/>
        <v>4367.43</v>
      </c>
      <c r="L16" s="6">
        <f>ROUND($I16*0.65,2)-0.01</f>
        <v>56776.52</v>
      </c>
    </row>
    <row r="17" spans="1:12" ht="15" customHeight="1" x14ac:dyDescent="0.25">
      <c r="A17" s="10">
        <f>Video!A15</f>
        <v>45906</v>
      </c>
      <c r="B17" s="6">
        <v>9754</v>
      </c>
      <c r="C17" s="6">
        <v>4593</v>
      </c>
      <c r="D17" s="6">
        <v>0</v>
      </c>
      <c r="E17" s="6">
        <v>0</v>
      </c>
      <c r="F17" s="6">
        <v>5209</v>
      </c>
      <c r="G17" s="6">
        <v>0</v>
      </c>
      <c r="H17" s="6">
        <v>5367</v>
      </c>
      <c r="I17" s="6">
        <f t="shared" ref="I17" si="11">SUM(B17:H17)</f>
        <v>24923</v>
      </c>
      <c r="J17" s="6">
        <f t="shared" si="1"/>
        <v>7476.9</v>
      </c>
      <c r="K17" s="6">
        <f t="shared" si="2"/>
        <v>1246.1500000000001</v>
      </c>
      <c r="L17" s="6">
        <f>ROUND($I17*0.65,2)</f>
        <v>16199.95</v>
      </c>
    </row>
    <row r="18" spans="1:12" ht="15" customHeight="1" x14ac:dyDescent="0.25">
      <c r="A18" s="10">
        <f>Video!A16</f>
        <v>45913</v>
      </c>
      <c r="B18" s="6">
        <v>-4277.5</v>
      </c>
      <c r="C18" s="6">
        <v>13317</v>
      </c>
      <c r="D18" s="6">
        <v>0</v>
      </c>
      <c r="E18" s="6">
        <v>0</v>
      </c>
      <c r="F18" s="6">
        <v>-5476</v>
      </c>
      <c r="G18" s="6">
        <v>0</v>
      </c>
      <c r="H18" s="6">
        <v>3088</v>
      </c>
      <c r="I18" s="6">
        <f t="shared" ref="I18" si="12">SUM(B18:H18)</f>
        <v>6651.5</v>
      </c>
      <c r="J18" s="6">
        <f t="shared" si="1"/>
        <v>1995.45</v>
      </c>
      <c r="K18" s="6">
        <f t="shared" si="2"/>
        <v>332.58</v>
      </c>
      <c r="L18" s="6">
        <f>ROUND($I18*0.65,2)-0.01</f>
        <v>4323.4699999999993</v>
      </c>
    </row>
    <row r="19" spans="1:12" ht="15" customHeight="1" x14ac:dyDescent="0.25">
      <c r="A19" s="10">
        <f>Video!A17</f>
        <v>45920</v>
      </c>
      <c r="B19" s="6">
        <v>31369</v>
      </c>
      <c r="C19" s="6">
        <v>-21909</v>
      </c>
      <c r="D19" s="6">
        <v>0</v>
      </c>
      <c r="E19" s="6">
        <v>0</v>
      </c>
      <c r="F19" s="6">
        <v>20026</v>
      </c>
      <c r="G19" s="6">
        <v>0</v>
      </c>
      <c r="H19" s="6">
        <v>9666</v>
      </c>
      <c r="I19" s="6">
        <f t="shared" ref="I19" si="13">SUM(B19:H19)</f>
        <v>39152</v>
      </c>
      <c r="J19" s="6">
        <f t="shared" si="1"/>
        <v>11745.6</v>
      </c>
      <c r="K19" s="6">
        <f t="shared" si="2"/>
        <v>1957.6</v>
      </c>
      <c r="L19" s="6">
        <f>ROUND($I19*0.65,2)</f>
        <v>25448.799999999999</v>
      </c>
    </row>
    <row r="20" spans="1:12" ht="15" customHeight="1" x14ac:dyDescent="0.25">
      <c r="A20" s="10">
        <f>Video!A18</f>
        <v>45927</v>
      </c>
      <c r="B20" s="6">
        <v>279493.5</v>
      </c>
      <c r="C20" s="6">
        <v>-1662</v>
      </c>
      <c r="D20" s="6">
        <v>0</v>
      </c>
      <c r="E20" s="6">
        <v>0</v>
      </c>
      <c r="F20" s="6">
        <v>47555</v>
      </c>
      <c r="G20" s="6">
        <v>0</v>
      </c>
      <c r="H20" s="6">
        <v>8972</v>
      </c>
      <c r="I20" s="6">
        <f t="shared" ref="I20" si="14">SUM(B20:H20)</f>
        <v>334358.5</v>
      </c>
      <c r="J20" s="6">
        <f t="shared" si="1"/>
        <v>100307.55</v>
      </c>
      <c r="K20" s="6">
        <f t="shared" si="2"/>
        <v>16717.93</v>
      </c>
      <c r="L20" s="6">
        <f>ROUND($I20*0.65,2)-0.01</f>
        <v>217333.02</v>
      </c>
    </row>
    <row r="21" spans="1:12" ht="15" customHeight="1" x14ac:dyDescent="0.25">
      <c r="A21" s="10">
        <f>Video!A19</f>
        <v>45934</v>
      </c>
      <c r="B21" s="6">
        <v>51392.5</v>
      </c>
      <c r="C21" s="6">
        <v>5306</v>
      </c>
      <c r="D21" s="6">
        <v>0</v>
      </c>
      <c r="E21" s="6">
        <v>0</v>
      </c>
      <c r="F21" s="6">
        <v>-2486</v>
      </c>
      <c r="G21" s="6">
        <v>0</v>
      </c>
      <c r="H21" s="6">
        <v>9582</v>
      </c>
      <c r="I21" s="6">
        <f t="shared" ref="I21" si="15">SUM(B21:H21)</f>
        <v>63794.5</v>
      </c>
      <c r="J21" s="6">
        <f t="shared" si="1"/>
        <v>19138.349999999999</v>
      </c>
      <c r="K21" s="6">
        <f t="shared" si="2"/>
        <v>3189.73</v>
      </c>
      <c r="L21" s="6">
        <f>ROUND($I21*0.65,2)-0.01</f>
        <v>41466.42</v>
      </c>
    </row>
    <row r="22" spans="1:12" ht="15" customHeight="1" x14ac:dyDescent="0.25">
      <c r="A22" s="10">
        <f>Video!A20</f>
        <v>45941</v>
      </c>
      <c r="B22" s="6">
        <v>18002.5</v>
      </c>
      <c r="C22" s="6">
        <v>9296</v>
      </c>
      <c r="D22" s="6">
        <v>-2352</v>
      </c>
      <c r="E22" s="6">
        <v>0</v>
      </c>
      <c r="F22" s="6">
        <v>8364</v>
      </c>
      <c r="G22" s="6">
        <v>0</v>
      </c>
      <c r="H22" s="6">
        <v>6665</v>
      </c>
      <c r="I22" s="6">
        <f t="shared" ref="I22" si="16">SUM(B22:H22)</f>
        <v>39975.5</v>
      </c>
      <c r="J22" s="6">
        <f t="shared" si="1"/>
        <v>11992.65</v>
      </c>
      <c r="K22" s="6">
        <f t="shared" si="2"/>
        <v>1998.78</v>
      </c>
      <c r="L22" s="6">
        <f>ROUND($I22*0.65,2)-0.01</f>
        <v>25984.070000000003</v>
      </c>
    </row>
    <row r="23" spans="1:12" ht="15" customHeight="1" x14ac:dyDescent="0.25">
      <c r="A23" s="10">
        <f>Video!A21</f>
        <v>45948</v>
      </c>
      <c r="B23" s="6">
        <v>26178.5</v>
      </c>
      <c r="C23" s="6">
        <v>55592</v>
      </c>
      <c r="D23" s="6">
        <v>0</v>
      </c>
      <c r="E23" s="6">
        <v>0</v>
      </c>
      <c r="F23" s="6">
        <v>-3054</v>
      </c>
      <c r="G23" s="6">
        <v>0</v>
      </c>
      <c r="H23" s="6">
        <v>5925</v>
      </c>
      <c r="I23" s="6">
        <f t="shared" ref="I23" si="17">SUM(B23:H23)</f>
        <v>84641.5</v>
      </c>
      <c r="J23" s="6">
        <f t="shared" si="1"/>
        <v>25392.45</v>
      </c>
      <c r="K23" s="6">
        <f t="shared" si="2"/>
        <v>4232.08</v>
      </c>
      <c r="L23" s="6">
        <f>ROUND($I23*0.65,2)-0.01</f>
        <v>55016.97</v>
      </c>
    </row>
    <row r="24" spans="1:12" ht="15" customHeight="1" x14ac:dyDescent="0.25">
      <c r="A24" s="10"/>
      <c r="B24" s="6"/>
      <c r="C24" s="6"/>
      <c r="D24" s="6"/>
      <c r="E24" s="6"/>
      <c r="F24" s="6"/>
      <c r="G24" s="6"/>
      <c r="H24" s="6" t="s">
        <v>30</v>
      </c>
      <c r="I24" s="6"/>
      <c r="J24" s="6"/>
      <c r="K24" s="6"/>
      <c r="L24" s="6"/>
    </row>
    <row r="25" spans="1:12" ht="15" customHeight="1" thickBot="1" x14ac:dyDescent="0.3">
      <c r="B25" s="7">
        <f t="shared" ref="B25:L25" si="18">SUM(B8:B24)</f>
        <v>847257.5</v>
      </c>
      <c r="C25" s="7">
        <f t="shared" si="18"/>
        <v>131181</v>
      </c>
      <c r="D25" s="7">
        <f t="shared" si="18"/>
        <v>29460.25</v>
      </c>
      <c r="E25" s="7">
        <f t="shared" si="18"/>
        <v>0</v>
      </c>
      <c r="F25" s="7">
        <f t="shared" si="18"/>
        <v>150928.5</v>
      </c>
      <c r="G25" s="7">
        <f t="shared" si="18"/>
        <v>-43276</v>
      </c>
      <c r="H25" s="7">
        <f t="shared" si="18"/>
        <v>111986</v>
      </c>
      <c r="I25" s="7">
        <f t="shared" si="18"/>
        <v>1227537.25</v>
      </c>
      <c r="J25" s="7">
        <f t="shared" si="18"/>
        <v>368261.18</v>
      </c>
      <c r="K25" s="7">
        <f t="shared" si="18"/>
        <v>61376.91</v>
      </c>
      <c r="L25" s="7">
        <f t="shared" si="18"/>
        <v>797899.15999999992</v>
      </c>
    </row>
    <row r="26" spans="1:12" ht="15" customHeight="1" thickTop="1" x14ac:dyDescent="0.25"/>
    <row r="27" spans="1:12" ht="15" customHeight="1" x14ac:dyDescent="0.25">
      <c r="A27" s="15" t="s">
        <v>31</v>
      </c>
    </row>
  </sheetData>
  <mergeCells count="1">
    <mergeCell ref="A6:L6"/>
  </mergeCells>
  <pageMargins left="0.25" right="0.25" top="0.75" bottom="0.5" header="0.25" footer="0"/>
  <pageSetup scale="78" orientation="landscape" r:id="rId1"/>
  <headerFooter>
    <oddHeader>&amp;C&amp;"Arial,Italic"&amp;10GREENBRIER HISTORIC RESORT TABLE GAMES</oddHeader>
    <oddFooter>&amp;L&amp;"Arial,Regular"&amp;8&amp;F</oddFooter>
  </headerFooter>
  <ignoredErrors>
    <ignoredError sqref="I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6"/>
  <sheetViews>
    <sheetView zoomScaleNormal="100" workbookViewId="0">
      <pane ySplit="3" topLeftCell="A4" activePane="bottomLeft" state="frozen"/>
      <selection pane="bottomLeft" activeCell="A23" sqref="A23"/>
    </sheetView>
  </sheetViews>
  <sheetFormatPr defaultRowHeight="15" customHeight="1" x14ac:dyDescent="0.25"/>
  <cols>
    <col min="1" max="1" width="12.7109375" customWidth="1"/>
    <col min="2" max="2" width="18" bestFit="1" customWidth="1"/>
    <col min="3" max="3" width="16.140625" bestFit="1" customWidth="1"/>
    <col min="4" max="4" width="15" bestFit="1" customWidth="1"/>
    <col min="5" max="5" width="14.7109375" customWidth="1"/>
    <col min="6" max="6" width="15" bestFit="1" customWidth="1"/>
    <col min="7" max="7" width="13.28515625" bestFit="1" customWidth="1"/>
    <col min="8" max="8" width="13.7109375" customWidth="1"/>
    <col min="9" max="9" width="15" bestFit="1" customWidth="1"/>
    <col min="10" max="10" width="11.7109375" customWidth="1"/>
    <col min="11" max="11" width="12.7109375" customWidth="1"/>
  </cols>
  <sheetData>
    <row r="1" spans="1:11" s="1" customFormat="1" ht="60" x14ac:dyDescent="0.25">
      <c r="B1" s="2" t="s">
        <v>0</v>
      </c>
      <c r="C1" s="2" t="s">
        <v>1</v>
      </c>
      <c r="D1" s="3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10</v>
      </c>
    </row>
    <row r="2" spans="1:11" ht="15" customHeight="1" x14ac:dyDescent="0.25">
      <c r="A2" t="s">
        <v>32</v>
      </c>
      <c r="B2" s="14">
        <v>46433344.560000002</v>
      </c>
      <c r="C2" s="14">
        <v>43022717.43999999</v>
      </c>
      <c r="D2" s="14">
        <v>896259.8</v>
      </c>
      <c r="E2" s="14">
        <v>2514367.3200000003</v>
      </c>
      <c r="F2" s="14">
        <v>905171.97999999963</v>
      </c>
      <c r="G2" s="14">
        <v>427442.44999999978</v>
      </c>
      <c r="H2" s="14">
        <v>118175.39000000004</v>
      </c>
      <c r="I2" s="14">
        <v>1063577.5000000002</v>
      </c>
      <c r="J2" s="14">
        <v>443.85</v>
      </c>
      <c r="K2" s="9">
        <v>103</v>
      </c>
    </row>
    <row r="4" spans="1:11" ht="15" customHeight="1" x14ac:dyDescent="0.25">
      <c r="A4" s="19" t="s">
        <v>33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 customHeight="1" x14ac:dyDescent="0.25">
      <c r="A6" s="10" t="s">
        <v>34</v>
      </c>
      <c r="B6" s="6">
        <v>871449.8600000001</v>
      </c>
      <c r="C6" s="6">
        <v>824572.37999999989</v>
      </c>
      <c r="D6" s="6">
        <v>10274</v>
      </c>
      <c r="E6" s="6">
        <v>36603.480000000025</v>
      </c>
      <c r="F6" s="6">
        <v>13177.26</v>
      </c>
      <c r="G6" s="6">
        <v>6222.59</v>
      </c>
      <c r="H6" s="6">
        <v>1720.3600000000001</v>
      </c>
      <c r="I6" s="6">
        <v>15483.27</v>
      </c>
      <c r="J6" s="11">
        <f t="shared" ref="J6:J7" si="0">E6/K6</f>
        <v>307.59226890756321</v>
      </c>
      <c r="K6" s="9">
        <v>119</v>
      </c>
    </row>
    <row r="7" spans="1:11" ht="15" customHeight="1" x14ac:dyDescent="0.25">
      <c r="A7" s="10">
        <v>45850</v>
      </c>
      <c r="B7" s="6">
        <v>971152.38</v>
      </c>
      <c r="C7" s="6">
        <v>903304.04</v>
      </c>
      <c r="D7" s="6">
        <v>14140</v>
      </c>
      <c r="E7" s="6">
        <f t="shared" ref="E7" si="1">B7-C7-D7</f>
        <v>53708.339999999967</v>
      </c>
      <c r="F7" s="6">
        <f>ROUND($E7*0.36,2)-0.02</f>
        <v>19334.98</v>
      </c>
      <c r="G7" s="6">
        <f>ROUND($E7*0.17,2)</f>
        <v>9130.42</v>
      </c>
      <c r="H7" s="6">
        <f>ROUND($E7*0.047,2)+0.01</f>
        <v>2524.3000000000002</v>
      </c>
      <c r="I7" s="6">
        <f>ROUND($E7*0.423,2)+0.01</f>
        <v>22718.639999999999</v>
      </c>
      <c r="J7" s="11">
        <f t="shared" si="0"/>
        <v>516.42634615384588</v>
      </c>
      <c r="K7" s="9">
        <v>104</v>
      </c>
    </row>
    <row r="8" spans="1:11" ht="15" customHeight="1" x14ac:dyDescent="0.25">
      <c r="A8" s="10">
        <f t="shared" ref="A8:A21" si="2">A7+7</f>
        <v>45857</v>
      </c>
      <c r="B8" s="6">
        <v>786620.75</v>
      </c>
      <c r="C8" s="6">
        <v>817035.88</v>
      </c>
      <c r="D8" s="6">
        <v>17388</v>
      </c>
      <c r="E8" s="6">
        <f t="shared" ref="E8" si="3">B8-C8-D8</f>
        <v>-47803.130000000005</v>
      </c>
      <c r="F8" s="6">
        <f>ROUND($E8*0.36,2)+0.02</f>
        <v>-17209.11</v>
      </c>
      <c r="G8" s="6">
        <f>ROUND($E8*0.17,2)</f>
        <v>-8126.53</v>
      </c>
      <c r="H8" s="6">
        <f>ROUND($E8*0.047,2)-0.01</f>
        <v>-2246.7600000000002</v>
      </c>
      <c r="I8" s="6">
        <f>ROUND($E8*0.423,2)-0.01</f>
        <v>-20220.73</v>
      </c>
      <c r="J8" s="11">
        <f t="shared" ref="J8" si="4">E8/K8</f>
        <v>-423.03654867256643</v>
      </c>
      <c r="K8" s="9">
        <v>113</v>
      </c>
    </row>
    <row r="9" spans="1:11" ht="15" customHeight="1" x14ac:dyDescent="0.25">
      <c r="A9" s="10">
        <f t="shared" si="2"/>
        <v>45864</v>
      </c>
      <c r="B9" s="6">
        <v>2080409.93</v>
      </c>
      <c r="C9" s="6">
        <v>1945148.88</v>
      </c>
      <c r="D9" s="6">
        <v>60348</v>
      </c>
      <c r="E9" s="6">
        <f t="shared" ref="E9" si="5">B9-C9-D9</f>
        <v>74913.050000000047</v>
      </c>
      <c r="F9" s="6">
        <f>ROUND($E9*0.36,2)+0.01</f>
        <v>26968.71</v>
      </c>
      <c r="G9" s="6">
        <f>ROUND($E9*0.17,2)-0.01</f>
        <v>12735.21</v>
      </c>
      <c r="H9" s="6">
        <f>ROUND($E9*0.047,2)</f>
        <v>3520.91</v>
      </c>
      <c r="I9" s="6">
        <f>ROUND($E9*0.423,2)</f>
        <v>31688.22</v>
      </c>
      <c r="J9" s="11">
        <f t="shared" ref="J9" si="6">E9/K9</f>
        <v>599.30440000000033</v>
      </c>
      <c r="K9" s="9">
        <v>125</v>
      </c>
    </row>
    <row r="10" spans="1:11" ht="15" customHeight="1" x14ac:dyDescent="0.25">
      <c r="A10" s="10">
        <f t="shared" si="2"/>
        <v>45871</v>
      </c>
      <c r="B10" s="6">
        <v>1522295.3199999998</v>
      </c>
      <c r="C10" s="6">
        <v>1365271.73</v>
      </c>
      <c r="D10" s="6">
        <v>29716</v>
      </c>
      <c r="E10" s="6">
        <f t="shared" ref="E10" si="7">B10-C10-D10</f>
        <v>127307.58999999985</v>
      </c>
      <c r="F10" s="6">
        <f>ROUND($E10*0.36,2)</f>
        <v>45830.73</v>
      </c>
      <c r="G10" s="6">
        <f>ROUND($E10*0.17,2)+0.01</f>
        <v>21642.3</v>
      </c>
      <c r="H10" s="6">
        <f>ROUND($E10*0.047,2)-0.01</f>
        <v>5983.45</v>
      </c>
      <c r="I10" s="6">
        <f>ROUND($E10*0.423,2)</f>
        <v>53851.11</v>
      </c>
      <c r="J10" s="11">
        <f t="shared" ref="J10" si="8">E10/K10</f>
        <v>1248.113627450979</v>
      </c>
      <c r="K10" s="9">
        <v>102</v>
      </c>
    </row>
    <row r="11" spans="1:11" ht="15" customHeight="1" x14ac:dyDescent="0.25">
      <c r="A11" s="10">
        <f t="shared" si="2"/>
        <v>45878</v>
      </c>
      <c r="B11" s="6">
        <v>701731.87</v>
      </c>
      <c r="C11" s="6">
        <v>640443.20000000007</v>
      </c>
      <c r="D11" s="6">
        <v>10085</v>
      </c>
      <c r="E11" s="6">
        <f t="shared" ref="E11" si="9">B11-C11-D11</f>
        <v>51203.669999999925</v>
      </c>
      <c r="F11" s="6">
        <f>ROUND($E11*0.36,2)</f>
        <v>18433.32</v>
      </c>
      <c r="G11" s="6">
        <f>ROUND($E11*0.17,2)</f>
        <v>8704.6200000000008</v>
      </c>
      <c r="H11" s="6">
        <f>ROUND($E11*0.047,2)+0.01</f>
        <v>2406.5800000000004</v>
      </c>
      <c r="I11" s="6">
        <f>ROUND($E11*0.423,2)</f>
        <v>21659.15</v>
      </c>
      <c r="J11" s="11">
        <f t="shared" ref="J11" si="10">E11/K11</f>
        <v>517.20878787878712</v>
      </c>
      <c r="K11" s="9">
        <v>99</v>
      </c>
    </row>
    <row r="12" spans="1:11" ht="15" customHeight="1" x14ac:dyDescent="0.25">
      <c r="A12" s="10">
        <f t="shared" si="2"/>
        <v>45885</v>
      </c>
      <c r="B12" s="6">
        <v>905788.5</v>
      </c>
      <c r="C12" s="6">
        <v>832728.72</v>
      </c>
      <c r="D12" s="6">
        <v>12998</v>
      </c>
      <c r="E12" s="6">
        <f t="shared" ref="E12" si="11">B12-C12-D12</f>
        <v>60061.780000000028</v>
      </c>
      <c r="F12" s="6">
        <f>ROUND($E12*0.36,2)</f>
        <v>21622.240000000002</v>
      </c>
      <c r="G12" s="6">
        <f>ROUND($E12*0.17,2)+0.01</f>
        <v>10210.51</v>
      </c>
      <c r="H12" s="6">
        <f>ROUND($E12*0.047,2)</f>
        <v>2822.9</v>
      </c>
      <c r="I12" s="6">
        <f>ROUND($E12*0.423,2)</f>
        <v>25406.13</v>
      </c>
      <c r="J12" s="11">
        <f t="shared" ref="J12" si="12">E12/K12</f>
        <v>561.32504672897221</v>
      </c>
      <c r="K12" s="9">
        <v>107</v>
      </c>
    </row>
    <row r="13" spans="1:11" ht="15" customHeight="1" x14ac:dyDescent="0.25">
      <c r="A13" s="10">
        <f t="shared" si="2"/>
        <v>45892</v>
      </c>
      <c r="B13" s="6">
        <v>1751995.44</v>
      </c>
      <c r="C13" s="6">
        <v>1566525.8599999999</v>
      </c>
      <c r="D13" s="6">
        <v>42140</v>
      </c>
      <c r="E13" s="6">
        <f t="shared" ref="E13" si="13">B13-C13-D13</f>
        <v>143329.58000000007</v>
      </c>
      <c r="F13" s="6">
        <f>ROUND($E13*0.36,2)</f>
        <v>51598.65</v>
      </c>
      <c r="G13" s="6">
        <f>ROUND($E13*0.17,2)-0.01</f>
        <v>24366.02</v>
      </c>
      <c r="H13" s="6">
        <f>ROUND($E13*0.047,2)+0.01</f>
        <v>6736.5</v>
      </c>
      <c r="I13" s="6">
        <f>ROUND($E13*0.423,2)</f>
        <v>60628.41</v>
      </c>
      <c r="J13" s="11">
        <f t="shared" ref="J13" si="14">E13/K13</f>
        <v>1365.0436190476198</v>
      </c>
      <c r="K13" s="9">
        <v>105</v>
      </c>
    </row>
    <row r="14" spans="1:11" ht="15" customHeight="1" x14ac:dyDescent="0.25">
      <c r="A14" s="10">
        <f t="shared" si="2"/>
        <v>45899</v>
      </c>
      <c r="B14" s="6">
        <v>870846.26</v>
      </c>
      <c r="C14" s="6">
        <v>784991.97000000009</v>
      </c>
      <c r="D14" s="6">
        <v>14667</v>
      </c>
      <c r="E14" s="6">
        <f t="shared" ref="E14" si="15">B14-C14-D14</f>
        <v>71187.289999999921</v>
      </c>
      <c r="F14" s="6">
        <f>ROUND($E14*0.36,2)+0.02</f>
        <v>25627.439999999999</v>
      </c>
      <c r="G14" s="6">
        <f>ROUND($E14*0.17,2)</f>
        <v>12101.84</v>
      </c>
      <c r="H14" s="6">
        <f>ROUND($E14*0.047,2)</f>
        <v>3345.8</v>
      </c>
      <c r="I14" s="6">
        <f>ROUND($E14*0.423,2)-0.01</f>
        <v>30112.210000000003</v>
      </c>
      <c r="J14" s="11">
        <f t="shared" ref="J14" si="16">E14/K14</f>
        <v>749.3398947368413</v>
      </c>
      <c r="K14" s="9">
        <v>95</v>
      </c>
    </row>
    <row r="15" spans="1:11" ht="15" customHeight="1" x14ac:dyDescent="0.25">
      <c r="A15" s="10">
        <f t="shared" si="2"/>
        <v>45906</v>
      </c>
      <c r="B15" s="6">
        <v>267739.79000000004</v>
      </c>
      <c r="C15" s="6">
        <v>258676.03999999998</v>
      </c>
      <c r="D15" s="6">
        <v>4342</v>
      </c>
      <c r="E15" s="6">
        <f t="shared" ref="E15" si="17">B15-C15-D15</f>
        <v>4721.7500000000582</v>
      </c>
      <c r="F15" s="6">
        <f>ROUND($E15*0.36,2)-0.02</f>
        <v>1699.81</v>
      </c>
      <c r="G15" s="6">
        <f>ROUND($E15*0.17,2)</f>
        <v>802.7</v>
      </c>
      <c r="H15" s="6">
        <f>ROUND($E15*0.047,2)+0.01</f>
        <v>221.92999999999998</v>
      </c>
      <c r="I15" s="6">
        <f>ROUND($E15*0.423,2)+0.01</f>
        <v>1997.31</v>
      </c>
      <c r="J15" s="11">
        <f t="shared" ref="J15" si="18">E15/K15</f>
        <v>57.582317073171438</v>
      </c>
      <c r="K15" s="9">
        <v>82</v>
      </c>
    </row>
    <row r="16" spans="1:11" ht="15" customHeight="1" x14ac:dyDescent="0.25">
      <c r="A16" s="10">
        <f t="shared" si="2"/>
        <v>45913</v>
      </c>
      <c r="B16" s="6">
        <v>224498.11000000004</v>
      </c>
      <c r="C16" s="6">
        <v>203883.33999999997</v>
      </c>
      <c r="D16" s="6">
        <v>6048</v>
      </c>
      <c r="E16" s="6">
        <f t="shared" ref="E16" si="19">B16-C16-D16</f>
        <v>14566.770000000077</v>
      </c>
      <c r="F16" s="6">
        <f>ROUND($E16*0.36,2)-0.03</f>
        <v>5244.01</v>
      </c>
      <c r="G16" s="6">
        <f>ROUND($E16*0.17,2)+0.01</f>
        <v>2476.36</v>
      </c>
      <c r="H16" s="6">
        <f>ROUND($E16*0.047,2)+0.01</f>
        <v>684.65</v>
      </c>
      <c r="I16" s="6">
        <f>ROUND($E16*0.423,2)+0.01</f>
        <v>6161.75</v>
      </c>
      <c r="J16" s="11">
        <f t="shared" ref="J16" si="20">E16/K16</f>
        <v>160.07439560439644</v>
      </c>
      <c r="K16" s="9">
        <v>91</v>
      </c>
    </row>
    <row r="17" spans="1:11" ht="15" customHeight="1" x14ac:dyDescent="0.25">
      <c r="A17" s="10">
        <f t="shared" si="2"/>
        <v>45920</v>
      </c>
      <c r="B17" s="6">
        <v>773442.02</v>
      </c>
      <c r="C17" s="6">
        <v>703640.22</v>
      </c>
      <c r="D17" s="6">
        <v>16157</v>
      </c>
      <c r="E17" s="6">
        <f t="shared" ref="E17" si="21">B17-C17-D17</f>
        <v>53644.800000000047</v>
      </c>
      <c r="F17" s="6">
        <f>ROUND($E17*0.36,2)-0.01</f>
        <v>19312.120000000003</v>
      </c>
      <c r="G17" s="6">
        <f>ROUND($E17*0.17,2)</f>
        <v>9119.6200000000008</v>
      </c>
      <c r="H17" s="6">
        <f>ROUND($E17*0.047,2)</f>
        <v>2521.31</v>
      </c>
      <c r="I17" s="6">
        <f>ROUND($E17*0.423,2)</f>
        <v>22691.75</v>
      </c>
      <c r="J17" s="11">
        <f t="shared" ref="J17" si="22">E17/K17</f>
        <v>515.81538461538503</v>
      </c>
      <c r="K17" s="9">
        <v>104</v>
      </c>
    </row>
    <row r="18" spans="1:11" ht="15" customHeight="1" x14ac:dyDescent="0.25">
      <c r="A18" s="10">
        <f t="shared" si="2"/>
        <v>45927</v>
      </c>
      <c r="B18" s="6">
        <v>1385245.48</v>
      </c>
      <c r="C18" s="6">
        <v>1294996.07</v>
      </c>
      <c r="D18" s="6">
        <v>35658</v>
      </c>
      <c r="E18" s="6">
        <f t="shared" ref="E18" si="23">B18-C18-D18</f>
        <v>54591.409999999916</v>
      </c>
      <c r="F18" s="6">
        <f>ROUND($E18*0.36,2)+0.01</f>
        <v>19652.919999999998</v>
      </c>
      <c r="G18" s="6">
        <f>ROUND($E18*0.17,2)-0.01</f>
        <v>9280.5300000000007</v>
      </c>
      <c r="H18" s="6">
        <f>ROUND($E18*0.047,2)-0.01</f>
        <v>2565.79</v>
      </c>
      <c r="I18" s="6">
        <f>ROUND($E18*0.423,2)</f>
        <v>23092.17</v>
      </c>
      <c r="J18" s="11">
        <f t="shared" ref="J18" si="24">E18/K18</f>
        <v>496.28554545454472</v>
      </c>
      <c r="K18" s="9">
        <v>110</v>
      </c>
    </row>
    <row r="19" spans="1:11" ht="15" customHeight="1" x14ac:dyDescent="0.25">
      <c r="A19" s="10">
        <f t="shared" si="2"/>
        <v>45934</v>
      </c>
      <c r="B19" s="6">
        <v>567173.64</v>
      </c>
      <c r="C19" s="6">
        <v>536107.48</v>
      </c>
      <c r="D19" s="6">
        <v>7474</v>
      </c>
      <c r="E19" s="6">
        <f t="shared" ref="E19" si="25">B19-C19-D19</f>
        <v>23592.160000000033</v>
      </c>
      <c r="F19" s="6">
        <f>ROUND($E19*0.36,2)+0.01</f>
        <v>8493.19</v>
      </c>
      <c r="G19" s="6">
        <f>ROUND($E19*0.17,2)</f>
        <v>4010.67</v>
      </c>
      <c r="H19" s="6">
        <f>ROUND($E19*0.047,2)</f>
        <v>1108.83</v>
      </c>
      <c r="I19" s="6">
        <f>ROUND($E19*0.423,2)-0.01</f>
        <v>9979.4699999999993</v>
      </c>
      <c r="J19" s="11">
        <f t="shared" ref="J19" si="26">E19/K19</f>
        <v>248.33852631578981</v>
      </c>
      <c r="K19" s="9">
        <v>95</v>
      </c>
    </row>
    <row r="20" spans="1:11" ht="15" customHeight="1" x14ac:dyDescent="0.25">
      <c r="A20" s="10">
        <f t="shared" si="2"/>
        <v>45941</v>
      </c>
      <c r="B20" s="6">
        <v>427984.13000000006</v>
      </c>
      <c r="C20" s="6">
        <v>374261.91</v>
      </c>
      <c r="D20" s="6">
        <v>7766</v>
      </c>
      <c r="E20" s="6">
        <f t="shared" ref="E20" si="27">B20-C20-D20</f>
        <v>45956.220000000088</v>
      </c>
      <c r="F20" s="6">
        <f>ROUND($E20*0.36,2)-0.01</f>
        <v>16544.230000000003</v>
      </c>
      <c r="G20" s="6">
        <f>ROUND($E20*0.17,2)</f>
        <v>7812.56</v>
      </c>
      <c r="H20" s="6">
        <f>ROUND($E20*0.047,2)+0.01</f>
        <v>2159.9500000000003</v>
      </c>
      <c r="I20" s="6">
        <f>ROUND($E20*0.423,2)</f>
        <v>19439.48</v>
      </c>
      <c r="J20" s="11">
        <f>E20/K20</f>
        <v>468.94102040816415</v>
      </c>
      <c r="K20" s="9">
        <v>98</v>
      </c>
    </row>
    <row r="21" spans="1:11" ht="15" customHeight="1" x14ac:dyDescent="0.25">
      <c r="A21" s="10">
        <f t="shared" si="2"/>
        <v>45948</v>
      </c>
      <c r="B21" s="6">
        <v>884241.15</v>
      </c>
      <c r="C21" s="6">
        <v>779572.84000000008</v>
      </c>
      <c r="D21" s="6">
        <v>66613</v>
      </c>
      <c r="E21" s="6">
        <f t="shared" ref="E21" si="28">B21-C21-D21</f>
        <v>38055.309999999939</v>
      </c>
      <c r="F21" s="6">
        <f>ROUND($E21*0.36,2)+0.01</f>
        <v>13699.92</v>
      </c>
      <c r="G21" s="6">
        <f>ROUND($E21*0.17,2)</f>
        <v>6469.4</v>
      </c>
      <c r="H21" s="6">
        <f>ROUND($E21*0.047,2)-0.01</f>
        <v>1788.59</v>
      </c>
      <c r="I21" s="6">
        <f>ROUND($E21*0.423,2)</f>
        <v>16097.4</v>
      </c>
      <c r="J21" s="11">
        <f>E21/K21</f>
        <v>400.58221052631518</v>
      </c>
      <c r="K21" s="9">
        <v>95</v>
      </c>
    </row>
    <row r="22" spans="1:11" ht="15" customHeight="1" x14ac:dyDescent="0.25">
      <c r="A22" s="10"/>
      <c r="B22" s="6"/>
      <c r="C22" s="6"/>
      <c r="D22" s="6"/>
      <c r="E22" s="6"/>
      <c r="F22" s="6"/>
      <c r="G22" s="6"/>
      <c r="H22" s="6"/>
      <c r="I22" s="6"/>
      <c r="J22" s="11"/>
      <c r="K22" s="9"/>
    </row>
    <row r="23" spans="1:11" ht="15" customHeight="1" thickBot="1" x14ac:dyDescent="0.3">
      <c r="B23" s="7">
        <f t="shared" ref="B23:I23" si="29">SUM(B6:B22)</f>
        <v>14992614.630000003</v>
      </c>
      <c r="C23" s="7">
        <f t="shared" si="29"/>
        <v>13831160.560000001</v>
      </c>
      <c r="D23" s="7">
        <f t="shared" si="29"/>
        <v>355814</v>
      </c>
      <c r="E23" s="7">
        <f t="shared" si="29"/>
        <v>805640.07</v>
      </c>
      <c r="F23" s="7">
        <f t="shared" si="29"/>
        <v>290030.42</v>
      </c>
      <c r="G23" s="7">
        <f t="shared" si="29"/>
        <v>136958.81999999998</v>
      </c>
      <c r="H23" s="7">
        <f t="shared" si="29"/>
        <v>37865.089999999997</v>
      </c>
      <c r="I23" s="7">
        <f t="shared" si="29"/>
        <v>340785.73999999993</v>
      </c>
      <c r="J23" s="12">
        <f>AVERAGE(J6:J22)</f>
        <v>486.80855263936297</v>
      </c>
      <c r="K23" s="13">
        <f>AVERAGE(K6:K22)</f>
        <v>102.75</v>
      </c>
    </row>
    <row r="24" spans="1:11" ht="15" customHeight="1" thickTop="1" x14ac:dyDescent="0.25"/>
    <row r="25" spans="1:11" ht="15" customHeight="1" x14ac:dyDescent="0.25">
      <c r="A25" s="15" t="s">
        <v>31</v>
      </c>
    </row>
    <row r="26" spans="1:11" ht="15" customHeight="1" x14ac:dyDescent="0.25">
      <c r="A26" s="8" t="s">
        <v>9</v>
      </c>
    </row>
  </sheetData>
  <mergeCells count="1">
    <mergeCell ref="A4:K4"/>
  </mergeCells>
  <printOptions horizontalCentered="1"/>
  <pageMargins left="0.25" right="0.25" top="0.75" bottom="0.5" header="0.25" footer="0"/>
  <pageSetup scale="84" orientation="landscape" r:id="rId1"/>
  <headerFooter>
    <oddHeader>&amp;C&amp;"Arial,Italic"&amp;10GREENBRIER HISTORIC RESORT VIDEO LOTTERY</oddHeader>
    <oddFooter>&amp;L&amp;"Arial,Regular"&amp;8&amp;F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Weekly Summary</vt:lpstr>
      <vt:lpstr>Table Games</vt:lpstr>
      <vt:lpstr>Video</vt:lpstr>
      <vt:lpstr>'Table Games'!Print_Area</vt:lpstr>
      <vt:lpstr>Video!Print_Area</vt:lpstr>
      <vt:lpstr>'Weekly Summary'!Print_Area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Emily Boyd</cp:lastModifiedBy>
  <cp:lastPrinted>2025-09-25T12:03:27Z</cp:lastPrinted>
  <dcterms:created xsi:type="dcterms:W3CDTF">2017-06-16T18:01:39Z</dcterms:created>
  <dcterms:modified xsi:type="dcterms:W3CDTF">2025-10-22T13:40:12Z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2024-08-26T17:58:47Z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954862fd-a071-4929-b1e0-6d64c92e1e42</vt:lpwstr>
  </property>
  <property fmtid="{D5CDD505-2E9C-101B-9397-08002B2CF9AE}" pid="8" name="MSIP_Label_defa4170-0d19-0005-0004-bc88714345d2_ContentBits">
    <vt:lpwstr>0</vt:lpwstr>
  </property>
</Properties>
</file>